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P1907190 - CCTA PPM 2019_2022 (CCTA)\Grants\MEGA 2022\BCA\BCA Final Files for Submission\"/>
    </mc:Choice>
  </mc:AlternateContent>
  <xr:revisionPtr revIDLastSave="0" documentId="8_{B4BFDA53-179D-4FA4-AF3D-62E651B1EF5F}" xr6:coauthVersionLast="47" xr6:coauthVersionMax="47" xr10:uidLastSave="{00000000-0000-0000-0000-000000000000}"/>
  <bookViews>
    <workbookView xWindow="28680" yWindow="-120" windowWidth="51840" windowHeight="21240" tabRatio="857" activeTab="11" xr2:uid="{4C0223CF-923E-41AF-8042-5CB046A790E5}"/>
  </bookViews>
  <sheets>
    <sheet name="BCA Summary" sheetId="50" r:id="rId1"/>
    <sheet name="Project Cost" sheetId="47" r:id="rId2"/>
    <sheet name="O&amp;M Costs" sheetId="49" r:id="rId3"/>
    <sheet name="QualityOfLife" sheetId="58" r:id="rId4"/>
    <sheet name="TravelTimeSavings" sheetId="60" r:id="rId5"/>
    <sheet name="Prevented Accident Savings" sheetId="53" r:id="rId6"/>
    <sheet name="GAP CLOSURE" sheetId="54" r:id="rId7"/>
    <sheet name="Gap Users" sheetId="55" r:id="rId8"/>
    <sheet name="XING" sheetId="56" r:id="rId9"/>
    <sheet name="Xing Users" sheetId="57" r:id="rId10"/>
    <sheet name="Parameters" sheetId="43" r:id="rId11"/>
    <sheet name="CatchmentAreaPopulation" sheetId="59" r:id="rId12"/>
  </sheets>
  <definedNames>
    <definedName name="_xlnm.Print_Area" localSheetId="0">'BCA Summary'!$A$1:$D$15</definedName>
    <definedName name="_xlnm.Print_Area" localSheetId="2">'O&amp;M Costs'!$A$1:$G$42</definedName>
    <definedName name="_xlnm.Print_Area" localSheetId="10">Parameters!$A$1:$N$46</definedName>
    <definedName name="_xlnm.Print_Area" localSheetId="1">'Project Cost'!$A$1:$I$57</definedName>
    <definedName name="_xlnm.Print_Area" localSheetId="3">QualityOfLife!$A$1:$L$42</definedName>
    <definedName name="_xlnm.Print_Area" localSheetId="4">TravelTimeSavings!$A$1:$I$42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54" l="1"/>
  <c r="B13" i="50"/>
  <c r="D40" i="49" l="1"/>
  <c r="D33" i="49"/>
  <c r="D20" i="49"/>
  <c r="D16" i="49"/>
  <c r="B5" i="59"/>
  <c r="B6" i="59"/>
  <c r="B7" i="59"/>
  <c r="B8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4" i="59"/>
  <c r="B33" i="59"/>
  <c r="F35" i="56"/>
  <c r="F36" i="56"/>
  <c r="F37" i="56"/>
  <c r="F34" i="56"/>
  <c r="F33" i="54"/>
  <c r="F31" i="54"/>
  <c r="F32" i="54"/>
  <c r="F30" i="54"/>
  <c r="E14" i="47"/>
  <c r="E12" i="47"/>
  <c r="F14" i="47"/>
  <c r="F15" i="47" s="1"/>
  <c r="F13" i="47"/>
  <c r="F12" i="47"/>
  <c r="D41" i="49" l="1"/>
  <c r="D39" i="49"/>
  <c r="D38" i="49"/>
  <c r="D37" i="49"/>
  <c r="D36" i="49"/>
  <c r="D35" i="49"/>
  <c r="D34" i="49"/>
  <c r="D31" i="49"/>
  <c r="D30" i="49"/>
  <c r="D29" i="49"/>
  <c r="D28" i="49"/>
  <c r="D27" i="49"/>
  <c r="D26" i="49"/>
  <c r="D25" i="49"/>
  <c r="D24" i="49"/>
  <c r="D23" i="49"/>
  <c r="D21" i="49"/>
  <c r="D19" i="49"/>
  <c r="D18" i="49"/>
  <c r="D17" i="49"/>
  <c r="D15" i="49"/>
  <c r="D14" i="49"/>
  <c r="D13" i="49"/>
  <c r="O11" i="53"/>
  <c r="O10" i="53"/>
  <c r="O9" i="53"/>
  <c r="O8" i="53"/>
  <c r="O7" i="53"/>
  <c r="O6" i="53"/>
  <c r="G10" i="60"/>
  <c r="H10" i="60" s="1"/>
  <c r="G9" i="60"/>
  <c r="H9" i="60" s="1"/>
  <c r="G8" i="60"/>
  <c r="H8" i="60" s="1"/>
  <c r="G7" i="60"/>
  <c r="H7" i="60" s="1"/>
  <c r="G6" i="60"/>
  <c r="H6" i="60" s="1"/>
  <c r="G5" i="60"/>
  <c r="B3" i="59"/>
  <c r="E6" i="49"/>
  <c r="F11" i="58"/>
  <c r="F14" i="58" s="1"/>
  <c r="J10" i="58"/>
  <c r="J9" i="58"/>
  <c r="J8" i="58"/>
  <c r="J7" i="58"/>
  <c r="J6" i="58"/>
  <c r="J5" i="58"/>
  <c r="I4" i="58"/>
  <c r="F4" i="58" s="1"/>
  <c r="H4" i="58"/>
  <c r="E4" i="58" s="1"/>
  <c r="G4" i="58"/>
  <c r="D4" i="58" s="1"/>
  <c r="S34" i="57"/>
  <c r="S23" i="57"/>
  <c r="S25" i="57" s="1"/>
  <c r="T25" i="57" s="1"/>
  <c r="S16" i="57"/>
  <c r="S17" i="57" s="1"/>
  <c r="S19" i="57" s="1"/>
  <c r="S28" i="57" s="1"/>
  <c r="S15" i="57"/>
  <c r="M5" i="57"/>
  <c r="L5" i="57"/>
  <c r="K5" i="57"/>
  <c r="G5" i="57"/>
  <c r="F5" i="57"/>
  <c r="L4" i="57"/>
  <c r="K4" i="57"/>
  <c r="M4" i="57" s="1"/>
  <c r="M6" i="57" s="1"/>
  <c r="M7" i="57" s="1"/>
  <c r="G4" i="57"/>
  <c r="G6" i="57" s="1"/>
  <c r="F4" i="57"/>
  <c r="F42" i="56"/>
  <c r="F41" i="56"/>
  <c r="F40" i="56"/>
  <c r="F39" i="56"/>
  <c r="F38" i="56"/>
  <c r="J12" i="53"/>
  <c r="H12" i="53"/>
  <c r="F33" i="56"/>
  <c r="D30" i="56"/>
  <c r="F30" i="56" s="1"/>
  <c r="D29" i="56"/>
  <c r="F29" i="56" s="1"/>
  <c r="I11" i="58" s="1"/>
  <c r="I14" i="58" s="1"/>
  <c r="D26" i="56"/>
  <c r="F26" i="56" s="1"/>
  <c r="D25" i="56"/>
  <c r="F25" i="56" s="1"/>
  <c r="D24" i="56"/>
  <c r="F24" i="56" s="1"/>
  <c r="D23" i="56"/>
  <c r="F23" i="56" s="1"/>
  <c r="D22" i="56"/>
  <c r="F22" i="56" s="1"/>
  <c r="D19" i="56"/>
  <c r="F19" i="56" s="1"/>
  <c r="D18" i="56"/>
  <c r="F18" i="56" s="1"/>
  <c r="D17" i="56"/>
  <c r="F17" i="56" s="1"/>
  <c r="G11" i="58" s="1"/>
  <c r="F14" i="56"/>
  <c r="F13" i="56"/>
  <c r="F12" i="56"/>
  <c r="F11" i="56"/>
  <c r="F10" i="56"/>
  <c r="F9" i="56"/>
  <c r="D9" i="55"/>
  <c r="E9" i="55" s="1"/>
  <c r="C12" i="55" s="1"/>
  <c r="C15" i="55" s="1"/>
  <c r="C9" i="55"/>
  <c r="C43" i="54"/>
  <c r="C42" i="54"/>
  <c r="E33" i="54" s="1"/>
  <c r="G12" i="53" s="1"/>
  <c r="F38" i="54"/>
  <c r="F37" i="54"/>
  <c r="F36" i="54"/>
  <c r="F35" i="54"/>
  <c r="F34" i="54"/>
  <c r="F29" i="54"/>
  <c r="F26" i="54"/>
  <c r="F25" i="54"/>
  <c r="F22" i="54"/>
  <c r="F21" i="54"/>
  <c r="F20" i="54"/>
  <c r="F19" i="54"/>
  <c r="F18" i="54"/>
  <c r="F15" i="54"/>
  <c r="F14" i="54"/>
  <c r="F13" i="54"/>
  <c r="D11" i="58" s="1"/>
  <c r="D13" i="58" s="1"/>
  <c r="F10" i="54"/>
  <c r="E11" i="60" s="1"/>
  <c r="F9" i="54"/>
  <c r="D11" i="60" s="1"/>
  <c r="D14" i="60" s="1"/>
  <c r="D10" i="47"/>
  <c r="J14" i="53" l="1"/>
  <c r="J16" i="53"/>
  <c r="J13" i="53"/>
  <c r="J42" i="53"/>
  <c r="J15" i="53"/>
  <c r="H42" i="53"/>
  <c r="I12" i="53"/>
  <c r="H15" i="53"/>
  <c r="H14" i="53"/>
  <c r="H16" i="53"/>
  <c r="H13" i="53"/>
  <c r="H11" i="58"/>
  <c r="H14" i="58" s="1"/>
  <c r="M12" i="53"/>
  <c r="G42" i="53"/>
  <c r="G14" i="53"/>
  <c r="G15" i="53"/>
  <c r="M15" i="53" s="1"/>
  <c r="G13" i="53"/>
  <c r="G16" i="53"/>
  <c r="E11" i="58"/>
  <c r="E12" i="58" s="1"/>
  <c r="E30" i="54"/>
  <c r="E12" i="53" s="1"/>
  <c r="G14" i="58"/>
  <c r="G13" i="58"/>
  <c r="I13" i="58"/>
  <c r="F11" i="60"/>
  <c r="E12" i="60"/>
  <c r="E41" i="60"/>
  <c r="F13" i="58"/>
  <c r="D12" i="58"/>
  <c r="D14" i="58"/>
  <c r="E15" i="60"/>
  <c r="E14" i="60"/>
  <c r="E13" i="60"/>
  <c r="D15" i="60"/>
  <c r="D41" i="60"/>
  <c r="D13" i="60"/>
  <c r="D12" i="60"/>
  <c r="H5" i="60"/>
  <c r="F14" i="60"/>
  <c r="G11" i="60"/>
  <c r="H11" i="60" s="1"/>
  <c r="F13" i="60"/>
  <c r="D15" i="58"/>
  <c r="G17" i="53"/>
  <c r="I15" i="58"/>
  <c r="H15" i="58"/>
  <c r="G15" i="58"/>
  <c r="F15" i="58"/>
  <c r="I12" i="58"/>
  <c r="F12" i="58"/>
  <c r="G12" i="58"/>
  <c r="H12" i="58"/>
  <c r="E32" i="54"/>
  <c r="E20" i="49"/>
  <c r="F10" i="47"/>
  <c r="E10" i="47"/>
  <c r="M14" i="53" l="1"/>
  <c r="M13" i="53"/>
  <c r="M16" i="53"/>
  <c r="E16" i="60"/>
  <c r="D16" i="60"/>
  <c r="J17" i="53"/>
  <c r="M17" i="53" s="1"/>
  <c r="H17" i="53"/>
  <c r="M42" i="53"/>
  <c r="H13" i="58"/>
  <c r="J13" i="58" s="1"/>
  <c r="K13" i="58" s="1"/>
  <c r="E15" i="58"/>
  <c r="J11" i="58"/>
  <c r="E14" i="58"/>
  <c r="D22" i="49"/>
  <c r="D32" i="49" s="1"/>
  <c r="J12" i="58"/>
  <c r="K12" i="58" s="1"/>
  <c r="I15" i="53"/>
  <c r="I17" i="53"/>
  <c r="I14" i="53"/>
  <c r="I16" i="53"/>
  <c r="I13" i="53"/>
  <c r="I42" i="53"/>
  <c r="E13" i="58"/>
  <c r="K12" i="53"/>
  <c r="E17" i="53"/>
  <c r="K17" i="53" s="1"/>
  <c r="E13" i="53"/>
  <c r="K13" i="53" s="1"/>
  <c r="E42" i="53"/>
  <c r="K42" i="53" s="1"/>
  <c r="E14" i="53"/>
  <c r="K14" i="53" s="1"/>
  <c r="E16" i="53"/>
  <c r="K16" i="53" s="1"/>
  <c r="E15" i="53"/>
  <c r="K15" i="53" s="1"/>
  <c r="F12" i="53"/>
  <c r="F15" i="60"/>
  <c r="G15" i="60" s="1"/>
  <c r="H15" i="60" s="1"/>
  <c r="F16" i="60"/>
  <c r="F41" i="60"/>
  <c r="G41" i="60" s="1"/>
  <c r="H41" i="60" s="1"/>
  <c r="F12" i="60"/>
  <c r="G12" i="60" s="1"/>
  <c r="H12" i="60" s="1"/>
  <c r="G13" i="60"/>
  <c r="H13" i="60" s="1"/>
  <c r="G14" i="60"/>
  <c r="H14" i="60" s="1"/>
  <c r="F16" i="58"/>
  <c r="E16" i="58"/>
  <c r="G16" i="58"/>
  <c r="D16" i="58"/>
  <c r="E18" i="53"/>
  <c r="I16" i="58"/>
  <c r="H16" i="58"/>
  <c r="J14" i="58"/>
  <c r="K14" i="58" s="1"/>
  <c r="K11" i="58"/>
  <c r="H6" i="47"/>
  <c r="H7" i="47"/>
  <c r="Q11" i="43"/>
  <c r="P10" i="43"/>
  <c r="Q10" i="43" s="1"/>
  <c r="P9" i="43"/>
  <c r="Q9" i="43" s="1"/>
  <c r="P8" i="43"/>
  <c r="Q8" i="43" s="1"/>
  <c r="Q7" i="43"/>
  <c r="Q6" i="43"/>
  <c r="G16" i="60" l="1"/>
  <c r="H16" i="60" s="1"/>
  <c r="G18" i="53"/>
  <c r="D17" i="60"/>
  <c r="H18" i="53"/>
  <c r="K18" i="53" s="1"/>
  <c r="J18" i="53"/>
  <c r="E17" i="60"/>
  <c r="F17" i="60"/>
  <c r="I18" i="53"/>
  <c r="F17" i="53"/>
  <c r="L17" i="53" s="1"/>
  <c r="N17" i="53" s="1"/>
  <c r="O17" i="53" s="1"/>
  <c r="F13" i="53"/>
  <c r="L13" i="53" s="1"/>
  <c r="N13" i="53" s="1"/>
  <c r="O13" i="53" s="1"/>
  <c r="F42" i="53"/>
  <c r="L42" i="53" s="1"/>
  <c r="N42" i="53" s="1"/>
  <c r="O42" i="53" s="1"/>
  <c r="F18" i="53"/>
  <c r="F14" i="53"/>
  <c r="L14" i="53" s="1"/>
  <c r="N14" i="53" s="1"/>
  <c r="O14" i="53" s="1"/>
  <c r="F15" i="53"/>
  <c r="L15" i="53" s="1"/>
  <c r="N15" i="53" s="1"/>
  <c r="O15" i="53" s="1"/>
  <c r="F16" i="53"/>
  <c r="L16" i="53" s="1"/>
  <c r="N16" i="53" s="1"/>
  <c r="O16" i="53" s="1"/>
  <c r="L12" i="53"/>
  <c r="N12" i="53" s="1"/>
  <c r="D17" i="58"/>
  <c r="I17" i="58"/>
  <c r="F19" i="53"/>
  <c r="H17" i="58"/>
  <c r="F17" i="58"/>
  <c r="G17" i="58"/>
  <c r="E17" i="58"/>
  <c r="J15" i="58"/>
  <c r="K15" i="58" s="1"/>
  <c r="K10" i="58"/>
  <c r="Q12" i="43"/>
  <c r="G17" i="60" l="1"/>
  <c r="L18" i="53"/>
  <c r="M18" i="53"/>
  <c r="H19" i="53"/>
  <c r="G19" i="53"/>
  <c r="E18" i="60"/>
  <c r="J19" i="53"/>
  <c r="D18" i="60"/>
  <c r="I19" i="53"/>
  <c r="L19" i="53" s="1"/>
  <c r="E19" i="53"/>
  <c r="F18" i="60"/>
  <c r="O12" i="53"/>
  <c r="D18" i="58"/>
  <c r="E18" i="58"/>
  <c r="F18" i="58"/>
  <c r="H18" i="58"/>
  <c r="I18" i="58"/>
  <c r="G18" i="58"/>
  <c r="J16" i="58"/>
  <c r="K16" i="58" s="1"/>
  <c r="K8" i="58"/>
  <c r="K9" i="58"/>
  <c r="E41" i="49"/>
  <c r="M19" i="53" l="1"/>
  <c r="K19" i="53"/>
  <c r="N19" i="53" s="1"/>
  <c r="O19" i="53" s="1"/>
  <c r="N18" i="53"/>
  <c r="H17" i="60"/>
  <c r="J20" i="53"/>
  <c r="F19" i="60"/>
  <c r="E19" i="60"/>
  <c r="D19" i="60"/>
  <c r="H20" i="53"/>
  <c r="G20" i="53"/>
  <c r="I20" i="53"/>
  <c r="E20" i="53"/>
  <c r="F20" i="53"/>
  <c r="G18" i="60"/>
  <c r="H18" i="60" s="1"/>
  <c r="D19" i="58"/>
  <c r="I19" i="58"/>
  <c r="F19" i="58"/>
  <c r="E19" i="58"/>
  <c r="G19" i="58"/>
  <c r="H19" i="58"/>
  <c r="J17" i="58"/>
  <c r="K17" i="58" s="1"/>
  <c r="K7" i="58"/>
  <c r="G39" i="43"/>
  <c r="G40" i="43" s="1"/>
  <c r="G41" i="43" s="1"/>
  <c r="G42" i="43" s="1"/>
  <c r="G43" i="43" s="1"/>
  <c r="G44" i="43" s="1"/>
  <c r="M6" i="43"/>
  <c r="M7" i="43" s="1"/>
  <c r="M8" i="43" s="1"/>
  <c r="M9" i="43" s="1"/>
  <c r="M10" i="43" s="1"/>
  <c r="M11" i="43" s="1"/>
  <c r="M12" i="43" s="1"/>
  <c r="M13" i="43" s="1"/>
  <c r="M14" i="43" s="1"/>
  <c r="M15" i="43" s="1"/>
  <c r="M16" i="43" s="1"/>
  <c r="M17" i="43" s="1"/>
  <c r="M18" i="43" s="1"/>
  <c r="M19" i="43" s="1"/>
  <c r="M20" i="43" s="1"/>
  <c r="M21" i="43" s="1"/>
  <c r="M22" i="43" s="1"/>
  <c r="M23" i="43" s="1"/>
  <c r="M24" i="43" s="1"/>
  <c r="M25" i="43" s="1"/>
  <c r="M26" i="43" s="1"/>
  <c r="M27" i="43" s="1"/>
  <c r="M28" i="43" s="1"/>
  <c r="M29" i="43" s="1"/>
  <c r="M30" i="43" s="1"/>
  <c r="M31" i="43" s="1"/>
  <c r="M32" i="43" s="1"/>
  <c r="M33" i="43" s="1"/>
  <c r="M34" i="43" s="1"/>
  <c r="M35" i="43" s="1"/>
  <c r="M36" i="43" s="1"/>
  <c r="L20" i="53" l="1"/>
  <c r="K20" i="53"/>
  <c r="O18" i="53"/>
  <c r="M20" i="53"/>
  <c r="H21" i="53"/>
  <c r="G21" i="53"/>
  <c r="J21" i="53"/>
  <c r="F20" i="60"/>
  <c r="D20" i="60"/>
  <c r="E20" i="60"/>
  <c r="E21" i="53"/>
  <c r="I21" i="53"/>
  <c r="F21" i="53"/>
  <c r="G19" i="60"/>
  <c r="E20" i="58"/>
  <c r="D20" i="58"/>
  <c r="F20" i="58"/>
  <c r="I20" i="58"/>
  <c r="H20" i="58"/>
  <c r="G20" i="58"/>
  <c r="J18" i="58"/>
  <c r="K18" i="58" s="1"/>
  <c r="K6" i="58"/>
  <c r="H40" i="47"/>
  <c r="I40" i="47" s="1"/>
  <c r="N20" i="53" l="1"/>
  <c r="O20" i="53" s="1"/>
  <c r="L21" i="53"/>
  <c r="G20" i="60"/>
  <c r="H20" i="60" s="1"/>
  <c r="H19" i="60"/>
  <c r="M21" i="53"/>
  <c r="G22" i="53"/>
  <c r="D21" i="60"/>
  <c r="J22" i="53"/>
  <c r="H22" i="53"/>
  <c r="E21" i="60"/>
  <c r="I22" i="53"/>
  <c r="E22" i="53"/>
  <c r="F21" i="60"/>
  <c r="F22" i="53"/>
  <c r="K21" i="53"/>
  <c r="G21" i="58"/>
  <c r="H21" i="58"/>
  <c r="F21" i="58"/>
  <c r="E21" i="58"/>
  <c r="D21" i="58"/>
  <c r="I21" i="58"/>
  <c r="J19" i="58"/>
  <c r="K19" i="58" s="1"/>
  <c r="H23" i="47"/>
  <c r="I23" i="47" s="1"/>
  <c r="H34" i="47"/>
  <c r="I34" i="47" s="1"/>
  <c r="H41" i="47"/>
  <c r="I41" i="47" s="1"/>
  <c r="H19" i="47"/>
  <c r="I19" i="47" s="1"/>
  <c r="H25" i="47"/>
  <c r="I25" i="47" s="1"/>
  <c r="H38" i="47"/>
  <c r="I38" i="47" s="1"/>
  <c r="H46" i="47"/>
  <c r="I46" i="47" s="1"/>
  <c r="H20" i="47"/>
  <c r="I20" i="47" s="1"/>
  <c r="H45" i="47"/>
  <c r="I45" i="47" s="1"/>
  <c r="H44" i="47"/>
  <c r="I44" i="47" s="1"/>
  <c r="H35" i="47"/>
  <c r="I35" i="47" s="1"/>
  <c r="H36" i="47"/>
  <c r="I36" i="47" s="1"/>
  <c r="H47" i="47"/>
  <c r="I47" i="47" s="1"/>
  <c r="H31" i="47"/>
  <c r="I31" i="47" s="1"/>
  <c r="H30" i="47"/>
  <c r="I30" i="47" s="1"/>
  <c r="H24" i="47"/>
  <c r="I24" i="47" s="1"/>
  <c r="H29" i="47"/>
  <c r="I29" i="47" s="1"/>
  <c r="H21" i="47"/>
  <c r="I21" i="47" s="1"/>
  <c r="H28" i="47"/>
  <c r="I28" i="47" s="1"/>
  <c r="H39" i="47"/>
  <c r="I39" i="47" s="1"/>
  <c r="H42" i="47"/>
  <c r="I42" i="47" s="1"/>
  <c r="H32" i="47"/>
  <c r="I32" i="47" s="1"/>
  <c r="H37" i="47"/>
  <c r="I37" i="47" s="1"/>
  <c r="H27" i="47"/>
  <c r="I27" i="47" s="1"/>
  <c r="H33" i="47"/>
  <c r="I33" i="47" s="1"/>
  <c r="H43" i="47"/>
  <c r="I43" i="47" s="1"/>
  <c r="H26" i="47"/>
  <c r="I26" i="47" s="1"/>
  <c r="H22" i="47"/>
  <c r="I22" i="47" s="1"/>
  <c r="N21" i="53" l="1"/>
  <c r="O21" i="53" s="1"/>
  <c r="L22" i="53"/>
  <c r="G21" i="60"/>
  <c r="M22" i="53"/>
  <c r="G23" i="53"/>
  <c r="J23" i="53"/>
  <c r="H23" i="53"/>
  <c r="E22" i="60"/>
  <c r="D22" i="60"/>
  <c r="F22" i="60"/>
  <c r="E23" i="53"/>
  <c r="I23" i="53"/>
  <c r="F23" i="53"/>
  <c r="K22" i="53"/>
  <c r="I22" i="58"/>
  <c r="H22" i="58"/>
  <c r="G22" i="58"/>
  <c r="F22" i="58"/>
  <c r="E22" i="58"/>
  <c r="D22" i="58"/>
  <c r="J20" i="58"/>
  <c r="K20" i="58" s="1"/>
  <c r="K5" i="58"/>
  <c r="M37" i="43"/>
  <c r="N22" i="53" l="1"/>
  <c r="O22" i="53" s="1"/>
  <c r="L23" i="53"/>
  <c r="M23" i="53"/>
  <c r="K23" i="53"/>
  <c r="G22" i="60"/>
  <c r="H22" i="60" s="1"/>
  <c r="H21" i="60"/>
  <c r="D23" i="60"/>
  <c r="E23" i="60"/>
  <c r="J24" i="53"/>
  <c r="H24" i="53"/>
  <c r="G24" i="53"/>
  <c r="E24" i="53"/>
  <c r="F23" i="60"/>
  <c r="I24" i="53"/>
  <c r="F24" i="53"/>
  <c r="I23" i="58"/>
  <c r="H23" i="58"/>
  <c r="G23" i="58"/>
  <c r="F23" i="58"/>
  <c r="E23" i="58"/>
  <c r="D23" i="58"/>
  <c r="J21" i="58"/>
  <c r="M38" i="43"/>
  <c r="E8" i="49"/>
  <c r="E7" i="49"/>
  <c r="E5" i="49"/>
  <c r="H9" i="47"/>
  <c r="H8" i="47"/>
  <c r="H5" i="47"/>
  <c r="L24" i="53" l="1"/>
  <c r="K24" i="53"/>
  <c r="N23" i="53"/>
  <c r="O23" i="53" s="1"/>
  <c r="M24" i="53"/>
  <c r="G23" i="60"/>
  <c r="H25" i="53"/>
  <c r="D24" i="60"/>
  <c r="J25" i="53"/>
  <c r="E24" i="60"/>
  <c r="G25" i="53"/>
  <c r="E25" i="53"/>
  <c r="I25" i="53"/>
  <c r="F24" i="60"/>
  <c r="F25" i="53"/>
  <c r="E24" i="58"/>
  <c r="D24" i="58"/>
  <c r="F24" i="58"/>
  <c r="I24" i="58"/>
  <c r="H24" i="58"/>
  <c r="G24" i="58"/>
  <c r="K21" i="58"/>
  <c r="J22" i="58"/>
  <c r="K22" i="58" s="1"/>
  <c r="M39" i="43"/>
  <c r="H10" i="47"/>
  <c r="N24" i="53" l="1"/>
  <c r="O24" i="53" s="1"/>
  <c r="L25" i="53"/>
  <c r="G24" i="60"/>
  <c r="H24" i="60" s="1"/>
  <c r="H23" i="60"/>
  <c r="K25" i="53"/>
  <c r="G26" i="53"/>
  <c r="D25" i="60"/>
  <c r="J26" i="53"/>
  <c r="E25" i="60"/>
  <c r="F25" i="60"/>
  <c r="H26" i="53"/>
  <c r="E26" i="53"/>
  <c r="K26" i="53" s="1"/>
  <c r="I26" i="53"/>
  <c r="F26" i="53"/>
  <c r="M25" i="53"/>
  <c r="G25" i="58"/>
  <c r="I25" i="58"/>
  <c r="H25" i="58"/>
  <c r="D25" i="58"/>
  <c r="F25" i="58"/>
  <c r="E25" i="58"/>
  <c r="J23" i="58"/>
  <c r="K23" i="58" s="1"/>
  <c r="D55" i="47"/>
  <c r="D56" i="47" s="1"/>
  <c r="D57" i="47" s="1"/>
  <c r="C11" i="50" s="1"/>
  <c r="E48" i="47"/>
  <c r="D48" i="47"/>
  <c r="F48" i="47"/>
  <c r="M40" i="43"/>
  <c r="E40" i="49"/>
  <c r="H18" i="47"/>
  <c r="I18" i="47" s="1"/>
  <c r="H12" i="47"/>
  <c r="E27" i="49"/>
  <c r="H16" i="47"/>
  <c r="H17" i="47"/>
  <c r="H15" i="47"/>
  <c r="H11" i="47"/>
  <c r="H13" i="47"/>
  <c r="H14" i="47"/>
  <c r="L26" i="53" l="1"/>
  <c r="G25" i="60"/>
  <c r="H25" i="60" s="1"/>
  <c r="N25" i="53"/>
  <c r="O25" i="53" s="1"/>
  <c r="M26" i="53"/>
  <c r="G27" i="53"/>
  <c r="H27" i="53"/>
  <c r="J27" i="53"/>
  <c r="D26" i="60"/>
  <c r="E26" i="60"/>
  <c r="I27" i="53"/>
  <c r="E27" i="53"/>
  <c r="F26" i="60"/>
  <c r="F27" i="53"/>
  <c r="I26" i="58"/>
  <c r="D26" i="58"/>
  <c r="G26" i="58"/>
  <c r="F26" i="58"/>
  <c r="H26" i="58"/>
  <c r="E26" i="58"/>
  <c r="J24" i="58"/>
  <c r="B11" i="50"/>
  <c r="H48" i="47"/>
  <c r="M41" i="43"/>
  <c r="I17" i="47"/>
  <c r="I16" i="47"/>
  <c r="I14" i="47"/>
  <c r="I13" i="47"/>
  <c r="I12" i="47"/>
  <c r="I11" i="47"/>
  <c r="I15" i="47"/>
  <c r="E29" i="49"/>
  <c r="E19" i="49"/>
  <c r="E22" i="49"/>
  <c r="E33" i="49"/>
  <c r="E21" i="49"/>
  <c r="E11" i="49"/>
  <c r="E26" i="49"/>
  <c r="E31" i="49"/>
  <c r="E25" i="49"/>
  <c r="E35" i="49"/>
  <c r="E37" i="49"/>
  <c r="E12" i="49"/>
  <c r="E24" i="49"/>
  <c r="E14" i="49"/>
  <c r="E15" i="49"/>
  <c r="E18" i="49"/>
  <c r="E16" i="49"/>
  <c r="E34" i="49"/>
  <c r="E32" i="49"/>
  <c r="E38" i="49"/>
  <c r="E23" i="49"/>
  <c r="E17" i="49"/>
  <c r="E13" i="49"/>
  <c r="E28" i="49"/>
  <c r="E30" i="49"/>
  <c r="E36" i="49"/>
  <c r="E9" i="49"/>
  <c r="N26" i="53" l="1"/>
  <c r="O26" i="53" s="1"/>
  <c r="G26" i="60"/>
  <c r="H26" i="60" s="1"/>
  <c r="L27" i="53"/>
  <c r="M27" i="53"/>
  <c r="J28" i="53"/>
  <c r="D27" i="60"/>
  <c r="G28" i="53"/>
  <c r="M28" i="53" s="1"/>
  <c r="E27" i="60"/>
  <c r="H28" i="53"/>
  <c r="I28" i="53"/>
  <c r="E28" i="53"/>
  <c r="F27" i="60"/>
  <c r="F28" i="53"/>
  <c r="K27" i="53"/>
  <c r="D27" i="58"/>
  <c r="I27" i="58"/>
  <c r="F27" i="58"/>
  <c r="G27" i="58"/>
  <c r="E27" i="58"/>
  <c r="H27" i="58"/>
  <c r="J25" i="58"/>
  <c r="K25" i="58" s="1"/>
  <c r="K24" i="58"/>
  <c r="E10" i="49"/>
  <c r="I48" i="47"/>
  <c r="M42" i="43"/>
  <c r="E39" i="49"/>
  <c r="H29" i="53" l="1"/>
  <c r="G29" i="53"/>
  <c r="J29" i="53"/>
  <c r="D28" i="60"/>
  <c r="E28" i="60"/>
  <c r="E29" i="53"/>
  <c r="K29" i="53" s="1"/>
  <c r="I29" i="53"/>
  <c r="F28" i="60"/>
  <c r="F29" i="53"/>
  <c r="L28" i="53"/>
  <c r="G27" i="60"/>
  <c r="H27" i="60" s="1"/>
  <c r="K28" i="53"/>
  <c r="N27" i="53"/>
  <c r="O27" i="53" s="1"/>
  <c r="D28" i="58"/>
  <c r="I28" i="58"/>
  <c r="H28" i="58"/>
  <c r="G28" i="58"/>
  <c r="E28" i="58"/>
  <c r="F28" i="58"/>
  <c r="J26" i="58"/>
  <c r="D42" i="49"/>
  <c r="E42" i="49"/>
  <c r="C13" i="50" s="1"/>
  <c r="M43" i="43"/>
  <c r="M29" i="53" l="1"/>
  <c r="G28" i="60"/>
  <c r="H28" i="60" s="1"/>
  <c r="G30" i="53"/>
  <c r="D29" i="60"/>
  <c r="E29" i="60"/>
  <c r="F29" i="60"/>
  <c r="H30" i="53"/>
  <c r="J30" i="53"/>
  <c r="E30" i="53"/>
  <c r="I30" i="53"/>
  <c r="F30" i="53"/>
  <c r="L30" i="53" s="1"/>
  <c r="N28" i="53"/>
  <c r="O28" i="53" s="1"/>
  <c r="L29" i="53"/>
  <c r="N29" i="53" s="1"/>
  <c r="O29" i="53" s="1"/>
  <c r="F29" i="58"/>
  <c r="E29" i="58"/>
  <c r="D29" i="58"/>
  <c r="G29" i="58"/>
  <c r="I29" i="58"/>
  <c r="H29" i="58"/>
  <c r="J27" i="58"/>
  <c r="K27" i="58" s="1"/>
  <c r="K26" i="58"/>
  <c r="K30" i="53" l="1"/>
  <c r="G29" i="60"/>
  <c r="H29" i="60" s="1"/>
  <c r="M30" i="53"/>
  <c r="J31" i="53"/>
  <c r="H31" i="53"/>
  <c r="D30" i="60"/>
  <c r="E30" i="60"/>
  <c r="F30" i="60"/>
  <c r="G31" i="53"/>
  <c r="E31" i="53"/>
  <c r="I31" i="53"/>
  <c r="F31" i="53"/>
  <c r="L31" i="53" s="1"/>
  <c r="H30" i="58"/>
  <c r="G30" i="58"/>
  <c r="F30" i="58"/>
  <c r="E30" i="58"/>
  <c r="D30" i="58"/>
  <c r="I30" i="58"/>
  <c r="J28" i="58"/>
  <c r="N30" i="53" l="1"/>
  <c r="O30" i="53" s="1"/>
  <c r="M31" i="53"/>
  <c r="G30" i="60"/>
  <c r="H30" i="60" s="1"/>
  <c r="G32" i="53"/>
  <c r="D31" i="60"/>
  <c r="H32" i="53"/>
  <c r="E31" i="60"/>
  <c r="J32" i="53"/>
  <c r="F31" i="60"/>
  <c r="E32" i="53"/>
  <c r="I32" i="53"/>
  <c r="F32" i="53"/>
  <c r="K31" i="53"/>
  <c r="I31" i="58"/>
  <c r="H31" i="58"/>
  <c r="G31" i="58"/>
  <c r="F31" i="58"/>
  <c r="E31" i="58"/>
  <c r="D31" i="58"/>
  <c r="K28" i="58"/>
  <c r="J29" i="58"/>
  <c r="K29" i="58" s="1"/>
  <c r="N31" i="53" l="1"/>
  <c r="O31" i="53" s="1"/>
  <c r="M32" i="53"/>
  <c r="G31" i="60"/>
  <c r="H31" i="60" s="1"/>
  <c r="K32" i="53"/>
  <c r="G33" i="53"/>
  <c r="D32" i="60"/>
  <c r="H33" i="53"/>
  <c r="E32" i="60"/>
  <c r="J33" i="53"/>
  <c r="F32" i="60"/>
  <c r="I33" i="53"/>
  <c r="E33" i="53"/>
  <c r="F33" i="53"/>
  <c r="L32" i="53"/>
  <c r="D32" i="58"/>
  <c r="E32" i="58"/>
  <c r="I32" i="58"/>
  <c r="H32" i="58"/>
  <c r="G32" i="58"/>
  <c r="F32" i="58"/>
  <c r="J30" i="58"/>
  <c r="K30" i="58" s="1"/>
  <c r="N32" i="53" l="1"/>
  <c r="O32" i="53" s="1"/>
  <c r="E33" i="60"/>
  <c r="G34" i="53"/>
  <c r="D33" i="60"/>
  <c r="J34" i="53"/>
  <c r="H34" i="53"/>
  <c r="E34" i="53"/>
  <c r="F33" i="60"/>
  <c r="I34" i="53"/>
  <c r="F34" i="53"/>
  <c r="K33" i="53"/>
  <c r="G32" i="60"/>
  <c r="H32" i="60" s="1"/>
  <c r="L33" i="53"/>
  <c r="M33" i="53"/>
  <c r="F33" i="58"/>
  <c r="E33" i="58"/>
  <c r="D33" i="58"/>
  <c r="I33" i="58"/>
  <c r="H33" i="58"/>
  <c r="G33" i="58"/>
  <c r="J31" i="58"/>
  <c r="K31" i="58" s="1"/>
  <c r="G33" i="60" l="1"/>
  <c r="H33" i="60" s="1"/>
  <c r="K34" i="53"/>
  <c r="M34" i="53"/>
  <c r="N33" i="53"/>
  <c r="O33" i="53" s="1"/>
  <c r="H35" i="53"/>
  <c r="J35" i="53"/>
  <c r="E34" i="60"/>
  <c r="D34" i="60"/>
  <c r="G35" i="53"/>
  <c r="F34" i="60"/>
  <c r="E35" i="53"/>
  <c r="I35" i="53"/>
  <c r="F35" i="53"/>
  <c r="L34" i="53"/>
  <c r="G34" i="58"/>
  <c r="F34" i="58"/>
  <c r="H34" i="58"/>
  <c r="D34" i="58"/>
  <c r="E34" i="58"/>
  <c r="I34" i="58"/>
  <c r="J32" i="58"/>
  <c r="K32" i="58" s="1"/>
  <c r="N34" i="53" l="1"/>
  <c r="O34" i="53" s="1"/>
  <c r="L35" i="53"/>
  <c r="K35" i="53"/>
  <c r="G34" i="60"/>
  <c r="H34" i="60" s="1"/>
  <c r="J36" i="53"/>
  <c r="E35" i="60"/>
  <c r="G36" i="53"/>
  <c r="M36" i="53" s="1"/>
  <c r="H36" i="53"/>
  <c r="D35" i="60"/>
  <c r="F35" i="60"/>
  <c r="E36" i="53"/>
  <c r="I36" i="53"/>
  <c r="F36" i="53"/>
  <c r="M35" i="53"/>
  <c r="I35" i="58"/>
  <c r="D35" i="58"/>
  <c r="H35" i="58"/>
  <c r="F35" i="58"/>
  <c r="G35" i="58"/>
  <c r="E35" i="58"/>
  <c r="J33" i="58"/>
  <c r="K33" i="58" s="1"/>
  <c r="N35" i="53" l="1"/>
  <c r="O35" i="53" s="1"/>
  <c r="G35" i="60"/>
  <c r="H35" i="60" s="1"/>
  <c r="K36" i="53"/>
  <c r="J37" i="53"/>
  <c r="E36" i="60"/>
  <c r="H37" i="53"/>
  <c r="G37" i="53"/>
  <c r="M37" i="53" s="1"/>
  <c r="D36" i="60"/>
  <c r="I37" i="53"/>
  <c r="F36" i="60"/>
  <c r="E37" i="53"/>
  <c r="F37" i="53"/>
  <c r="L36" i="53"/>
  <c r="N36" i="53" s="1"/>
  <c r="O36" i="53" s="1"/>
  <c r="I36" i="58"/>
  <c r="H36" i="58"/>
  <c r="G36" i="58"/>
  <c r="F36" i="58"/>
  <c r="E36" i="58"/>
  <c r="D36" i="58"/>
  <c r="J34" i="58"/>
  <c r="K34" i="58" s="1"/>
  <c r="G36" i="60" l="1"/>
  <c r="H36" i="60" s="1"/>
  <c r="K37" i="53"/>
  <c r="D37" i="60"/>
  <c r="G38" i="53"/>
  <c r="E37" i="60"/>
  <c r="F37" i="60"/>
  <c r="H38" i="53"/>
  <c r="J38" i="53"/>
  <c r="M38" i="53" s="1"/>
  <c r="I38" i="53"/>
  <c r="E38" i="53"/>
  <c r="F38" i="53"/>
  <c r="L37" i="53"/>
  <c r="D37" i="58"/>
  <c r="I37" i="58"/>
  <c r="H37" i="58"/>
  <c r="G37" i="58"/>
  <c r="E37" i="58"/>
  <c r="F37" i="58"/>
  <c r="J35" i="58"/>
  <c r="K35" i="58" s="1"/>
  <c r="K38" i="53" l="1"/>
  <c r="N37" i="53"/>
  <c r="O37" i="53" s="1"/>
  <c r="J39" i="53"/>
  <c r="F38" i="60"/>
  <c r="H39" i="53"/>
  <c r="D38" i="60"/>
  <c r="E38" i="60"/>
  <c r="G39" i="53"/>
  <c r="E39" i="53"/>
  <c r="I39" i="53"/>
  <c r="F39" i="53"/>
  <c r="L38" i="53"/>
  <c r="N38" i="53" s="1"/>
  <c r="O38" i="53" s="1"/>
  <c r="G37" i="60"/>
  <c r="H37" i="60" s="1"/>
  <c r="F38" i="58"/>
  <c r="E38" i="58"/>
  <c r="D38" i="58"/>
  <c r="G38" i="58"/>
  <c r="I38" i="58"/>
  <c r="H38" i="58"/>
  <c r="J36" i="58"/>
  <c r="K36" i="58" s="1"/>
  <c r="K39" i="53" l="1"/>
  <c r="M39" i="53"/>
  <c r="G38" i="60"/>
  <c r="H38" i="60" s="1"/>
  <c r="E39" i="60"/>
  <c r="G40" i="53"/>
  <c r="D39" i="60"/>
  <c r="H40" i="53"/>
  <c r="J40" i="53"/>
  <c r="F39" i="60"/>
  <c r="I40" i="53"/>
  <c r="E40" i="53"/>
  <c r="F40" i="53"/>
  <c r="L39" i="53"/>
  <c r="H39" i="58"/>
  <c r="G39" i="58"/>
  <c r="I39" i="58"/>
  <c r="F39" i="58"/>
  <c r="E39" i="58"/>
  <c r="D39" i="58"/>
  <c r="J37" i="58"/>
  <c r="K37" i="58" s="1"/>
  <c r="G39" i="60" l="1"/>
  <c r="H39" i="60" s="1"/>
  <c r="N39" i="53"/>
  <c r="O39" i="53" s="1"/>
  <c r="L40" i="53"/>
  <c r="M40" i="53"/>
  <c r="K40" i="53"/>
  <c r="H41" i="53"/>
  <c r="J41" i="53"/>
  <c r="G41" i="53"/>
  <c r="E40" i="60"/>
  <c r="D40" i="60"/>
  <c r="I41" i="53"/>
  <c r="E41" i="53"/>
  <c r="F40" i="60"/>
  <c r="F41" i="53"/>
  <c r="L41" i="53" s="1"/>
  <c r="I40" i="58"/>
  <c r="H40" i="58"/>
  <c r="G40" i="58"/>
  <c r="F40" i="58"/>
  <c r="E40" i="58"/>
  <c r="D40" i="58"/>
  <c r="J38" i="58"/>
  <c r="K38" i="58" s="1"/>
  <c r="M41" i="53" l="1"/>
  <c r="N40" i="53"/>
  <c r="O40" i="53" s="1"/>
  <c r="G40" i="60"/>
  <c r="K41" i="53"/>
  <c r="F41" i="58"/>
  <c r="D41" i="58"/>
  <c r="H41" i="58"/>
  <c r="I41" i="58"/>
  <c r="G41" i="58"/>
  <c r="E41" i="58"/>
  <c r="J39" i="58"/>
  <c r="K39" i="58" s="1"/>
  <c r="N41" i="53" l="1"/>
  <c r="O41" i="53" s="1"/>
  <c r="O43" i="53" s="1"/>
  <c r="C8" i="50" s="1"/>
  <c r="H40" i="60"/>
  <c r="H42" i="60" s="1"/>
  <c r="C7" i="50" s="1"/>
  <c r="G42" i="60"/>
  <c r="B7" i="50" s="1"/>
  <c r="J40" i="58"/>
  <c r="K40" i="58" s="1"/>
  <c r="J41" i="58"/>
  <c r="N43" i="53" l="1"/>
  <c r="B8" i="50" s="1"/>
  <c r="K41" i="58"/>
  <c r="K42" i="58" s="1"/>
  <c r="C10" i="50" s="1"/>
  <c r="J42" i="58"/>
  <c r="B10" i="50" s="1"/>
  <c r="B12" i="50" l="1"/>
  <c r="C12" i="50" l="1"/>
  <c r="C15" i="50" s="1"/>
  <c r="B15" i="50"/>
  <c r="B14" i="50"/>
  <c r="C14" i="5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tc={39B8E5E2-590D-4055-B8E7-50FC3D458CFC}</author>
    <author>tc={8E6E1A63-A8B7-4CA8-B56B-D0AFD92739EA}</author>
  </authors>
  <commentList>
    <comment ref="A28" authorId="0" shapeId="0" xr:uid="{39B8E5E2-590D-4055-B8E7-50FC3D458CFC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did you decide about how far out to look?  What feels defensible from a safety standpoint?  Since there are no parallel routes, that could be a reason to look at least 1/4 mile catchment area if not 1/2 mile buffer.</t>
      </text>
    </comment>
    <comment ref="A42" authorId="1" shapeId="0" xr:uid="{8E6E1A63-A8B7-4CA8-B56B-D0AFD92739EA}">
      <text>
        <t>[Threaded comment]
Your version of Excel allows you to read this threaded comment; however, any edits to it will get removed if the file is opened in a newer version of Excel. Learn more: https://go.microsoft.com/fwlink/?linkid=870924
Comment:
    HAWK, Path, bike Lanes, anything else?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tc={A757319E-B726-403C-BEBF-CBEDFE47CDFC}</author>
  </authors>
  <commentList>
    <comment ref="A32" authorId="0" shapeId="0" xr:uid="{A757319E-B726-403C-BEBF-CBEDFE47CDFC}">
      <text>
        <t>[Threaded comment]
Your version of Excel allows you to read this threaded comment; however, any edits to it will get removed if the file is opened in a newer version of Excel. Learn more: https://go.microsoft.com/fwlink/?linkid=870924
Comment:
    what did you decide about how far out to look?  What feels defensible from a safety standpoint?  Since there are no parallel routes, that could be a reason to look at least 1/4 mile catchment area if not 1/2 mile buffer.</t>
      </text>
    </comment>
  </commentList>
</comments>
</file>

<file path=xl/sharedStrings.xml><?xml version="1.0" encoding="utf-8"?>
<sst xmlns="http://schemas.openxmlformats.org/spreadsheetml/2006/main" count="432" uniqueCount="279">
  <si>
    <t>BCA Metric</t>
  </si>
  <si>
    <t>Calendar Year</t>
  </si>
  <si>
    <t>Project Year</t>
  </si>
  <si>
    <t>Discounted (7%)</t>
  </si>
  <si>
    <t>Total Benefits</t>
  </si>
  <si>
    <t>Travel Time Savings</t>
  </si>
  <si>
    <t>Prevented Accidents</t>
  </si>
  <si>
    <t>Residual Value</t>
  </si>
  <si>
    <t>Environmental Emissions</t>
  </si>
  <si>
    <t>Project Cost</t>
  </si>
  <si>
    <t>Benefit Cost Ratio (BCR)</t>
  </si>
  <si>
    <t>TOTAL</t>
  </si>
  <si>
    <t>Useful Life of Project (years)</t>
  </si>
  <si>
    <t>Years of Analysis</t>
  </si>
  <si>
    <t>Project Phase</t>
  </si>
  <si>
    <t>Design</t>
  </si>
  <si>
    <t>Construction</t>
  </si>
  <si>
    <t>Total</t>
  </si>
  <si>
    <t>Start date</t>
  </si>
  <si>
    <t>End Date</t>
  </si>
  <si>
    <t>Source:</t>
  </si>
  <si>
    <t>Timeline Year</t>
  </si>
  <si>
    <t>AM</t>
  </si>
  <si>
    <t>PM</t>
  </si>
  <si>
    <t>PDO</t>
  </si>
  <si>
    <t>Injury</t>
  </si>
  <si>
    <t>Fatal</t>
  </si>
  <si>
    <t>Opening Year</t>
  </si>
  <si>
    <t>PM 2.5</t>
  </si>
  <si>
    <t>PM 10</t>
  </si>
  <si>
    <t>CO2</t>
  </si>
  <si>
    <t>Auto</t>
  </si>
  <si>
    <t>Caltrans Vehicle Operation Cost Parameters</t>
  </si>
  <si>
    <t>Severity</t>
  </si>
  <si>
    <t>Fraction of VSL</t>
  </si>
  <si>
    <t>Minor</t>
  </si>
  <si>
    <t>Moderate</t>
  </si>
  <si>
    <t>Serious</t>
  </si>
  <si>
    <t>Severe</t>
  </si>
  <si>
    <t>Critical</t>
  </si>
  <si>
    <t>Not survivable</t>
  </si>
  <si>
    <t>MAIS Level</t>
  </si>
  <si>
    <t>MAIS 1</t>
  </si>
  <si>
    <t>MAIS 2</t>
  </si>
  <si>
    <t>MAIS 3</t>
  </si>
  <si>
    <t>MAIS 4</t>
  </si>
  <si>
    <t>MAIS 5</t>
  </si>
  <si>
    <t>Nox</t>
  </si>
  <si>
    <t>So2</t>
  </si>
  <si>
    <t>Table A-1: Value of Reduced Fatalities and Injuries</t>
  </si>
  <si>
    <t>Recommended Monitized Value(s)</t>
  </si>
  <si>
    <t>Unit value ($2019)</t>
  </si>
  <si>
    <t>KABCO Level</t>
  </si>
  <si>
    <t>O-No Injury</t>
  </si>
  <si>
    <t>C-Possible Injury</t>
  </si>
  <si>
    <t>B-Non-Incapacitating</t>
  </si>
  <si>
    <t>A-Incapacitating</t>
  </si>
  <si>
    <t>K-Killed</t>
  </si>
  <si>
    <t>U-Injured (Severity Unknown)</t>
  </si>
  <si>
    <t># Accidents Reported (Unknown if injured)</t>
  </si>
  <si>
    <t>Crash Type</t>
  </si>
  <si>
    <t>Injury Crash</t>
  </si>
  <si>
    <t>Fatal Crash</t>
  </si>
  <si>
    <t>Table A-2: Property Damage Only (PDO) Crashes</t>
  </si>
  <si>
    <t>Table A-3: Value of Travel Time Savings</t>
  </si>
  <si>
    <t>Hourly Value</t>
  </si>
  <si>
    <t>Category</t>
  </si>
  <si>
    <t>In-Vehicle Travel</t>
  </si>
  <si>
    <t>Business</t>
  </si>
  <si>
    <t>All Purposes</t>
  </si>
  <si>
    <t>Commercial Vehilce Operators</t>
  </si>
  <si>
    <t>Truck Drivers</t>
  </si>
  <si>
    <t>Bus Drivers</t>
  </si>
  <si>
    <t>Transit Rail Operators</t>
  </si>
  <si>
    <t>Locomotive Engineers</t>
  </si>
  <si>
    <t>Table A-6 Damage costs for Emissions per metric ton</t>
  </si>
  <si>
    <t>Emissions</t>
  </si>
  <si>
    <t>Base Year of Nominal Dollar</t>
  </si>
  <si>
    <t>Recommended Values</t>
  </si>
  <si>
    <t>Table A-7 Inflation Adjustment Values</t>
  </si>
  <si>
    <t>Table A-4 Avg Vehicle Occupany Rates for Highway Passenger Vehicles</t>
  </si>
  <si>
    <t>Vehicle Type</t>
  </si>
  <si>
    <t>Average occupany</t>
  </si>
  <si>
    <t>Passenger Vehicles (Weekday Peak)</t>
  </si>
  <si>
    <t>Passenger Vehicles (Weekday Off-Peak)</t>
  </si>
  <si>
    <t>Passenger Vehicles (Weekend)</t>
  </si>
  <si>
    <t>Passenger Vehicles (All Travel)</t>
  </si>
  <si>
    <t>Table A-5 Vehicle Operating Costs</t>
  </si>
  <si>
    <t>Light Duty Vehicles</t>
  </si>
  <si>
    <t>Commercial Trucks</t>
  </si>
  <si>
    <t>ROW/Utilities</t>
  </si>
  <si>
    <t>Project Cost and Schedule</t>
  </si>
  <si>
    <t>Residual Value at year 2057</t>
  </si>
  <si>
    <t>Operations and Maintenance Costs</t>
  </si>
  <si>
    <t>Benefit Cost Analysis Summary</t>
  </si>
  <si>
    <t>Capital Expenditures</t>
  </si>
  <si>
    <t>Design Year</t>
  </si>
  <si>
    <t>Prevented Accident Savings</t>
  </si>
  <si>
    <t>Particulate Matter (PM 10)($2016); Used same factor as PM 2.5</t>
  </si>
  <si>
    <t>Operation and Maintenance</t>
  </si>
  <si>
    <t>Discounted (7%) Annual O&amp;M Cost ($2019)</t>
  </si>
  <si>
    <t>Project Lifecycle (2021-2057)</t>
  </si>
  <si>
    <t>Discounted Project Costs(7%)</t>
  </si>
  <si>
    <t>Residual Value in 2057</t>
  </si>
  <si>
    <t>Safety Benefits - Mainline</t>
  </si>
  <si>
    <t>2021*</t>
  </si>
  <si>
    <t>2022*</t>
  </si>
  <si>
    <t>2023*</t>
  </si>
  <si>
    <t>2024*</t>
  </si>
  <si>
    <t>2025*</t>
  </si>
  <si>
    <t>2026*</t>
  </si>
  <si>
    <t>* Adjustment value extrapolated</t>
  </si>
  <si>
    <t>Average</t>
  </si>
  <si>
    <t>Personal*</t>
  </si>
  <si>
    <t>* Used blended rate for 75% intercity travel and 25% local travel</t>
  </si>
  <si>
    <t>Appendix A Recommended Parameter Values (USDOT BCA Guidance 2022)</t>
  </si>
  <si>
    <t>Monetized Value ($2020)</t>
  </si>
  <si>
    <t>Monetized Value ($2020)/vehicle</t>
  </si>
  <si>
    <t>Recommnded Hourly Values of Travel Time Savings (2020 U.S.$person-hour)</t>
  </si>
  <si>
    <t>Per Mile ($2020)</t>
  </si>
  <si>
    <t>Multiplier to Adjust to Real $2020</t>
  </si>
  <si>
    <t>Amount (2020 $)</t>
  </si>
  <si>
    <t>Amount (2022 $)</t>
  </si>
  <si>
    <t>Planning</t>
  </si>
  <si>
    <t>Environmental</t>
  </si>
  <si>
    <t xml:space="preserve">Project Management </t>
  </si>
  <si>
    <t>Project Total Value (2020 $)</t>
  </si>
  <si>
    <t>Residual Value discounted to 2020 Net Present Value</t>
  </si>
  <si>
    <t>Undiscounted Annual O&amp;M Cost ($2020)</t>
  </si>
  <si>
    <t>Net Present Value (2020 $)</t>
  </si>
  <si>
    <t>2020 $</t>
  </si>
  <si>
    <t xml:space="preserve"> FY 2022 MEGA GRANT PROGRAM</t>
  </si>
  <si>
    <t>GAP CLOSURE</t>
  </si>
  <si>
    <t>Notes:</t>
  </si>
  <si>
    <t>USERS</t>
  </si>
  <si>
    <t>TRIPS</t>
  </si>
  <si>
    <t>305 total users, of which 205 are induced</t>
  </si>
  <si>
    <t>INDUCED TRIPS</t>
  </si>
  <si>
    <t>100 peds, 205 bikes</t>
  </si>
  <si>
    <t>WEEKEND USERS AS % OF WEEKDAY</t>
  </si>
  <si>
    <t>TIME SAVINGS</t>
  </si>
  <si>
    <t>PER HOUR PER USER</t>
  </si>
  <si>
    <t>HOURS</t>
  </si>
  <si>
    <t>YEAR MULTIPLIER</t>
  </si>
  <si>
    <t>TOTAL BENEFITS</t>
  </si>
  <si>
    <t>NOTES</t>
  </si>
  <si>
    <t>[PEDS] Value of Time - Walk, cycle, wait, standing, transfer</t>
  </si>
  <si>
    <t>Time savings assuming 3.5ft/s on distance savings of .55 mi (2.34 mi original - 1.79 mi new).</t>
  </si>
  <si>
    <t>[BIKES] Value of Time - Walk, cycle, wait, standing, transfer</t>
  </si>
  <si>
    <t>Time savings assuming 10MPH on distance savings of .55 mi (2.34 mi original - 1.79 mi new).</t>
  </si>
  <si>
    <t>PED INFRASTRUCTURE</t>
  </si>
  <si>
    <t>PER FOOT PER USER PER DAY</t>
  </si>
  <si>
    <t>FT</t>
  </si>
  <si>
    <t>Quality of Life - Expand Sidewalk</t>
  </si>
  <si>
    <t>Quality of Life - Marked Crosswalk</t>
  </si>
  <si>
    <t>Quality of Life - Signalized Crosswalk</t>
  </si>
  <si>
    <t>Two HAWK-controlled crosswalks on 40ft roadways</t>
  </si>
  <si>
    <t>BIKE INFRASTRUCTURE</t>
  </si>
  <si>
    <t>PER MILE PER USER PER DAY</t>
  </si>
  <si>
    <t>MILES</t>
  </si>
  <si>
    <t>Quality of Life - Cycle Path (At-Grade Crossing)</t>
  </si>
  <si>
    <t>Quality of Life - Cycle Path (No At-Grade Crossing)</t>
  </si>
  <si>
    <t>Project costing says 1.1mi but does not include bridge</t>
  </si>
  <si>
    <t>Quality of Life - Dedicated Cycle Lane</t>
  </si>
  <si>
    <t>Quality of Life - Sharrow</t>
  </si>
  <si>
    <t>Quality of Life - Separated Cycle Track</t>
  </si>
  <si>
    <t>HEALTH BENEFITS</t>
  </si>
  <si>
    <t>PER INDUCED (NEW) TRIP</t>
  </si>
  <si>
    <t>Quality of Life - Mortality (Walking)</t>
  </si>
  <si>
    <t>Quality of Life - Mortality (Cycling)</t>
  </si>
  <si>
    <t>COLLISIONS</t>
  </si>
  <si>
    <t>BENEFIT PER UNIT</t>
  </si>
  <si>
    <t>INCIDENTS</t>
  </si>
  <si>
    <t>CALCULATED CMF</t>
  </si>
  <si>
    <t>O – No Injury</t>
  </si>
  <si>
    <t>C – Possible Injury</t>
  </si>
  <si>
    <t>2015-19 ped &amp; bike collisions along the two routes that currently would be taken: Solano to Imhoff to Blum; or Marsh to Center to Pacheco. Assuming this would all shift to the trail alignment since both of these are circuitous and unpleasant routes</t>
  </si>
  <si>
    <t>B – Non-incapacitating</t>
  </si>
  <si>
    <t>A – Incapacitating</t>
  </si>
  <si>
    <t>K – Killed</t>
  </si>
  <si>
    <t>U – Injured (Severity Unknown)</t>
  </si>
  <si>
    <t># Accidents Reported (Unknown
if Injured)</t>
  </si>
  <si>
    <t>Property Damage Only Crash</t>
  </si>
  <si>
    <t>CMF CALCULATION</t>
  </si>
  <si>
    <t>CMF PERCENTAGE</t>
  </si>
  <si>
    <t>PERCENT OF CORRIDOR</t>
  </si>
  <si>
    <r>
      <t>CMF</t>
    </r>
    <r>
      <rPr>
        <sz val="11"/>
        <color rgb="FFFF0000"/>
        <rFont val="Calibri"/>
        <family val="2"/>
        <scheme val="minor"/>
      </rPr>
      <t xml:space="preserve"> - bike lanes</t>
    </r>
  </si>
  <si>
    <t>http://www.cmfclearinghouse.org/detail.cfm?facid=10743</t>
  </si>
  <si>
    <r>
      <t>CMF</t>
    </r>
    <r>
      <rPr>
        <sz val="11"/>
        <color rgb="FFFF0000"/>
        <rFont val="Calibri"/>
        <family val="2"/>
        <scheme val="minor"/>
      </rPr>
      <t xml:space="preserve"> - off-road path</t>
    </r>
  </si>
  <si>
    <t>assumed to be 100% since it removes it from traffic altogether</t>
  </si>
  <si>
    <r>
      <t>CMF</t>
    </r>
    <r>
      <rPr>
        <sz val="11"/>
        <color rgb="FFFF0000"/>
        <rFont val="Calibri"/>
        <family val="2"/>
        <scheme val="minor"/>
      </rPr>
      <t xml:space="preserve"> - Factor 3</t>
    </r>
    <r>
      <rPr>
        <sz val="11"/>
        <color theme="1"/>
        <rFont val="Calibri"/>
        <family val="2"/>
        <scheme val="minor"/>
      </rPr>
      <t/>
    </r>
  </si>
  <si>
    <r>
      <t>CMF</t>
    </r>
    <r>
      <rPr>
        <sz val="11"/>
        <color rgb="FFFF0000"/>
        <rFont val="Calibri"/>
        <family val="2"/>
        <scheme val="minor"/>
      </rPr>
      <t xml:space="preserve"> - Factor 4</t>
    </r>
    <r>
      <rPr>
        <sz val="11"/>
        <color theme="1"/>
        <rFont val="Calibri"/>
        <family val="2"/>
        <scheme val="minor"/>
      </rPr>
      <t/>
    </r>
  </si>
  <si>
    <t>MODE SHIFT (LATER)</t>
  </si>
  <si>
    <t>CCTA Model Baseline (within 1 mile)</t>
  </si>
  <si>
    <t>Households</t>
  </si>
  <si>
    <t>Employees</t>
  </si>
  <si>
    <t>Daily Trips</t>
  </si>
  <si>
    <t>Potential Ped/Bike Modal Split (7.5%)</t>
  </si>
  <si>
    <t>Potential Gap Closure Use as percent of Ped/Bike Split (15%)</t>
  </si>
  <si>
    <t>East Bay Regional Park District Ancedotal Numbers</t>
  </si>
  <si>
    <t>"a few hundred, less than a thousand"</t>
  </si>
  <si>
    <t>Assume 100 are current users, 205 induced</t>
  </si>
  <si>
    <t>CROSSING</t>
  </si>
  <si>
    <t>Daily Users from counts</t>
  </si>
  <si>
    <t>Assumed trips = users</t>
  </si>
  <si>
    <t>Based on N/S Modal Split = 7.5%</t>
  </si>
  <si>
    <t>Value of Time - Personal</t>
  </si>
  <si>
    <t>Value of Time - Business</t>
  </si>
  <si>
    <t>Value of Time - All</t>
  </si>
  <si>
    <t>This is 15000 vehicles (22,600 people) delayed for 37.5 sec each</t>
  </si>
  <si>
    <t>Value of Time - Walk, cycle, wait, standing, transfer</t>
  </si>
  <si>
    <t>Value of Time - Truck Driver</t>
  </si>
  <si>
    <t>Value of Time - Bus Driver</t>
  </si>
  <si>
    <t>this is the length of the distance across Bollinger Canyon (120ft) - benefit rate should theoretically be higher since this is grade-separated instead of just signalized. Actual length of the bridge is "1,200ft - 1,400ft"</t>
  </si>
  <si>
    <t>resulting length of segment of Iron Horse Trail with no grade crossings. Alternative number would be 0.23-0.27 (the length of the bridge itself)</t>
  </si>
  <si>
    <t>2015-19 ped and bike collisions from the stretch of Bollinger Canyon between Sunset and Alcosta</t>
  </si>
  <si>
    <t>Assumed that the removal of conflicts between bikes and pedestrians will eliminate these</t>
  </si>
  <si>
    <t>No assumption is made of how this would influence vehicle collisions</t>
  </si>
  <si>
    <t>Logically, there should be reductions in rear-ends, too, but there is not enough supporting research, and the effects are comparatively small</t>
  </si>
  <si>
    <r>
      <t>CMF</t>
    </r>
    <r>
      <rPr>
        <sz val="11"/>
        <color rgb="FFFF0000"/>
        <rFont val="Calibri"/>
        <family val="2"/>
        <scheme val="minor"/>
      </rPr>
      <t xml:space="preserve"> - Factor 1</t>
    </r>
  </si>
  <si>
    <r>
      <t>CMF</t>
    </r>
    <r>
      <rPr>
        <sz val="11"/>
        <color rgb="FFFF0000"/>
        <rFont val="Calibri"/>
        <family val="2"/>
        <scheme val="minor"/>
      </rPr>
      <t xml:space="preserve"> - Factor 2</t>
    </r>
    <r>
      <rPr>
        <sz val="11"/>
        <color theme="1"/>
        <rFont val="Calibri"/>
        <family val="2"/>
        <scheme val="minor"/>
      </rPr>
      <t/>
    </r>
  </si>
  <si>
    <t>Pre Construction Counts (7:30 to 9:30 AM)</t>
  </si>
  <si>
    <t>Date</t>
  </si>
  <si>
    <t>Bikes</t>
  </si>
  <si>
    <t>Peds</t>
  </si>
  <si>
    <t>Others</t>
  </si>
  <si>
    <t>Daily</t>
  </si>
  <si>
    <t>North/South Auto Traffic Daily</t>
  </si>
  <si>
    <t>NB</t>
  </si>
  <si>
    <t>SB</t>
  </si>
  <si>
    <t>Camino Ramon/Bollinger Canyon</t>
  </si>
  <si>
    <t>Thursday</t>
  </si>
  <si>
    <t>EBL</t>
  </si>
  <si>
    <t>EBT</t>
  </si>
  <si>
    <t>EBR</t>
  </si>
  <si>
    <t>WBL</t>
  </si>
  <si>
    <t>WBT</t>
  </si>
  <si>
    <t>WBR</t>
  </si>
  <si>
    <t>NBL</t>
  </si>
  <si>
    <t>NBT</t>
  </si>
  <si>
    <t>NBR</t>
  </si>
  <si>
    <t>SBL</t>
  </si>
  <si>
    <t>SBT</t>
  </si>
  <si>
    <t>SBR</t>
  </si>
  <si>
    <t>Tuesday</t>
  </si>
  <si>
    <t>Alcosta/Bollinger Canyon</t>
  </si>
  <si>
    <t>Volumes</t>
  </si>
  <si>
    <t>Total Daily Auto Trips</t>
  </si>
  <si>
    <t xml:space="preserve">Source - City of San Ramon </t>
  </si>
  <si>
    <t>Potential Ped/Bike Demand (7.5%) AVO Assumed 1.5</t>
  </si>
  <si>
    <t>Source - Overcrossing MND and Citywalk EIR</t>
  </si>
  <si>
    <t>Green Time</t>
  </si>
  <si>
    <t xml:space="preserve">Peak Hour Volumes at Crossing </t>
  </si>
  <si>
    <t xml:space="preserve">Daily Volumes at Crossing </t>
  </si>
  <si>
    <t>Crossing Distance (feet)</t>
  </si>
  <si>
    <t>Walk speed (ft/sec)</t>
  </si>
  <si>
    <t>Walk time</t>
  </si>
  <si>
    <t>Yellow plus All Red</t>
  </si>
  <si>
    <t>Total red time for thru traffic</t>
  </si>
  <si>
    <t>Amount of traffic delayed</t>
  </si>
  <si>
    <t>Total users delayed (AVO 1.5)</t>
  </si>
  <si>
    <t>Quality of Life</t>
  </si>
  <si>
    <t>Undiscounted Annual Quality of Life Savings ($2020)</t>
  </si>
  <si>
    <t>Discounted (7%) Annual Quality of Life Savings ($2020)</t>
  </si>
  <si>
    <t>Quality of Life by Component - Gap Close</t>
  </si>
  <si>
    <t>Quality of Life by Component - Crossing</t>
  </si>
  <si>
    <t>Year</t>
  </si>
  <si>
    <t>Population</t>
  </si>
  <si>
    <t>Annual maintenance to avoid catostrophic damage</t>
  </si>
  <si>
    <t>Walk</t>
  </si>
  <si>
    <t>Bike</t>
  </si>
  <si>
    <t xml:space="preserve">Travel Time Savings due to Overcrossing </t>
  </si>
  <si>
    <t>Gap Closure - Estimated Cost Reduction ($2020)</t>
  </si>
  <si>
    <t>Crossing- Estimated Cost Reduction ($2020)</t>
  </si>
  <si>
    <t>Total - Estimated Cost Reduction ($2020)</t>
  </si>
  <si>
    <t>Discounted (7%) Safety Benefits</t>
  </si>
  <si>
    <t xml:space="preserve">10 year rehab, 12.5% </t>
  </si>
  <si>
    <t>Iron Horse Trail Gap and Crossing</t>
  </si>
  <si>
    <t>Years of collision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</si>
</sst>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"/>
    <numFmt numFmtId="167" formatCode="&quot;$&quot;#,##0"/>
    <numFmt numFmtId="168" formatCode="0.0%"/>
    <numFmt numFmtId="169" formatCode="_(&quot;$&quot;* #,##0_);_(&quot;$&quot;* \(#,##0\);_(&quot;$&quot;* &quot;-&quot;??_);_(@_)"/>
    <numFmt numFmtId="170" formatCode="0.0000"/>
    <numFmt numFmtId="171" formatCode="#,##0.0_);\(#,##0.0\)"/>
    <numFmt numFmtId="172" formatCode="[$-409]mmm\-yy;@"/>
    <numFmt numFmtId="173" formatCode="_([$$-409]* #,##0_);_([$$-409]* \(#,##0\);_([$$-409]* &quot;-&quot;??_);_(@_)"/>
    <numFmt numFmtId="174" formatCode="&quot;$&quot;#,##0.0"/>
    <numFmt numFmtId="175" formatCode="&quot;$&quot;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18"/>
      <color theme="1"/>
      <name val="Segoe UI"/>
      <family val="2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1">
    <xf numFmtId="0" fontId="0" fillId="0" borderId="0" xfId="0"/>
    <xf numFmtId="1" fontId="0" fillId="0" borderId="0" xfId="0" applyNumberFormat="1" applyBorder="1"/>
    <xf numFmtId="14" fontId="3" fillId="0" borderId="0" xfId="0" applyNumberFormat="1" applyFont="1" applyBorder="1" applyAlignment="1">
      <alignment wrapText="1"/>
    </xf>
    <xf numFmtId="167" fontId="0" fillId="0" borderId="0" xfId="0" applyNumberFormat="1" applyBorder="1"/>
    <xf numFmtId="167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/>
    <xf numFmtId="0" fontId="3" fillId="0" borderId="0" xfId="0" applyFont="1" applyFill="1" applyBorder="1"/>
    <xf numFmtId="0" fontId="3" fillId="0" borderId="0" xfId="0" applyFont="1" applyBorder="1" applyAlignment="1"/>
    <xf numFmtId="0" fontId="8" fillId="0" borderId="0" xfId="5"/>
    <xf numFmtId="167" fontId="3" fillId="0" borderId="26" xfId="0" applyNumberFormat="1" applyFont="1" applyBorder="1"/>
    <xf numFmtId="167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0" fillId="0" borderId="20" xfId="0" applyBorder="1"/>
    <xf numFmtId="0" fontId="0" fillId="0" borderId="11" xfId="0" applyBorder="1"/>
    <xf numFmtId="0" fontId="0" fillId="0" borderId="0" xfId="0" applyAlignment="1">
      <alignment horizontal="center"/>
    </xf>
    <xf numFmtId="0" fontId="0" fillId="0" borderId="7" xfId="0" applyFill="1" applyBorder="1"/>
    <xf numFmtId="0" fontId="0" fillId="0" borderId="19" xfId="0" applyFill="1" applyBorder="1"/>
    <xf numFmtId="0" fontId="3" fillId="0" borderId="23" xfId="0" applyFont="1" applyBorder="1"/>
    <xf numFmtId="0" fontId="0" fillId="0" borderId="0" xfId="0" applyAlignment="1">
      <alignment wrapText="1"/>
    </xf>
    <xf numFmtId="0" fontId="0" fillId="0" borderId="0" xfId="0" applyBorder="1"/>
    <xf numFmtId="0" fontId="3" fillId="0" borderId="0" xfId="0" applyFont="1"/>
    <xf numFmtId="0" fontId="0" fillId="0" borderId="0" xfId="0" applyFill="1" applyBorder="1"/>
    <xf numFmtId="0" fontId="8" fillId="0" borderId="0" xfId="5" applyFill="1" applyBorder="1"/>
    <xf numFmtId="0" fontId="3" fillId="0" borderId="0" xfId="0" applyFont="1" applyBorder="1"/>
    <xf numFmtId="169" fontId="0" fillId="0" borderId="0" xfId="7" applyNumberFormat="1" applyFont="1" applyFill="1" applyBorder="1"/>
    <xf numFmtId="167" fontId="3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/>
    <xf numFmtId="169" fontId="3" fillId="0" borderId="0" xfId="7" applyNumberFormat="1" applyFont="1" applyFill="1" applyBorder="1"/>
    <xf numFmtId="0" fontId="3" fillId="0" borderId="22" xfId="0" applyFont="1" applyBorder="1" applyAlignment="1">
      <alignment horizontal="center"/>
    </xf>
    <xf numFmtId="42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 indent="1"/>
    </xf>
    <xf numFmtId="168" fontId="0" fillId="0" borderId="0" xfId="0" applyNumberFormat="1"/>
    <xf numFmtId="166" fontId="0" fillId="0" borderId="0" xfId="0" applyNumberFormat="1"/>
    <xf numFmtId="171" fontId="0" fillId="0" borderId="0" xfId="0" applyNumberFormat="1"/>
    <xf numFmtId="10" fontId="0" fillId="0" borderId="0" xfId="0" applyNumberFormat="1"/>
    <xf numFmtId="10" fontId="0" fillId="0" borderId="0" xfId="0" applyNumberFormat="1" applyAlignment="1">
      <alignment horizontal="center"/>
    </xf>
    <xf numFmtId="42" fontId="0" fillId="0" borderId="0" xfId="0" applyNumberFormat="1" applyAlignment="1">
      <alignment horizontal="right" indent="1"/>
    </xf>
    <xf numFmtId="166" fontId="0" fillId="0" borderId="0" xfId="0" applyNumberFormat="1" applyAlignment="1">
      <alignment horizontal="right" indent="2"/>
    </xf>
    <xf numFmtId="0" fontId="0" fillId="0" borderId="0" xfId="0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42" fontId="0" fillId="0" borderId="0" xfId="0" applyNumberFormat="1" applyFill="1"/>
    <xf numFmtId="2" fontId="0" fillId="0" borderId="0" xfId="0" applyNumberFormat="1" applyFill="1" applyAlignment="1">
      <alignment horizontal="center" vertical="center"/>
    </xf>
    <xf numFmtId="42" fontId="0" fillId="0" borderId="0" xfId="0" applyNumberFormat="1" applyFill="1" applyAlignment="1">
      <alignment vertical="center"/>
    </xf>
    <xf numFmtId="42" fontId="5" fillId="0" borderId="0" xfId="0" applyNumberFormat="1" applyFont="1" applyFill="1"/>
    <xf numFmtId="168" fontId="0" fillId="0" borderId="0" xfId="0" applyNumberFormat="1" applyFill="1"/>
    <xf numFmtId="172" fontId="0" fillId="0" borderId="0" xfId="0" applyNumberFormat="1" applyBorder="1"/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6" applyNumberFormat="1" applyFont="1" applyFill="1" applyBorder="1" applyAlignment="1">
      <alignment horizontal="center"/>
    </xf>
    <xf numFmtId="0" fontId="8" fillId="0" borderId="0" xfId="5" applyFill="1"/>
    <xf numFmtId="0" fontId="0" fillId="0" borderId="0" xfId="0"/>
    <xf numFmtId="173" fontId="0" fillId="0" borderId="0" xfId="0" applyNumberFormat="1" applyBorder="1"/>
    <xf numFmtId="167" fontId="0" fillId="0" borderId="0" xfId="0" applyNumberFormat="1"/>
    <xf numFmtId="14" fontId="3" fillId="0" borderId="0" xfId="0" applyNumberFormat="1" applyFont="1" applyAlignment="1">
      <alignment wrapText="1"/>
    </xf>
    <xf numFmtId="0" fontId="3" fillId="0" borderId="0" xfId="0" applyFont="1" applyFill="1"/>
    <xf numFmtId="0" fontId="0" fillId="0" borderId="20" xfId="0" applyFill="1" applyBorder="1"/>
    <xf numFmtId="0" fontId="0" fillId="0" borderId="0" xfId="0" applyAlignment="1"/>
    <xf numFmtId="0" fontId="3" fillId="0" borderId="21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7" xfId="0" applyFont="1" applyBorder="1"/>
    <xf numFmtId="0" fontId="0" fillId="0" borderId="8" xfId="0" applyBorder="1"/>
    <xf numFmtId="0" fontId="0" fillId="0" borderId="23" xfId="0" applyBorder="1"/>
    <xf numFmtId="0" fontId="0" fillId="6" borderId="21" xfId="0" applyFill="1" applyBorder="1"/>
    <xf numFmtId="0" fontId="3" fillId="6" borderId="19" xfId="0" applyFont="1" applyFill="1" applyBorder="1"/>
    <xf numFmtId="0" fontId="0" fillId="6" borderId="20" xfId="0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20" xfId="0" applyFont="1" applyFill="1" applyBorder="1" applyAlignment="1">
      <alignment horizontal="right"/>
    </xf>
    <xf numFmtId="0" fontId="3" fillId="0" borderId="21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10" fillId="0" borderId="0" xfId="0" applyFont="1"/>
    <xf numFmtId="42" fontId="8" fillId="0" borderId="0" xfId="5" applyNumberFormat="1" applyAlignment="1">
      <alignment vertical="center"/>
    </xf>
    <xf numFmtId="172" fontId="0" fillId="0" borderId="0" xfId="0" applyNumberFormat="1" applyFill="1" applyBorder="1"/>
    <xf numFmtId="17" fontId="3" fillId="0" borderId="0" xfId="0" applyNumberFormat="1" applyFont="1" applyBorder="1"/>
    <xf numFmtId="169" fontId="4" fillId="0" borderId="0" xfId="7" applyNumberFormat="1" applyFont="1" applyFill="1" applyBorder="1"/>
    <xf numFmtId="0" fontId="3" fillId="0" borderId="7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167" fontId="4" fillId="0" borderId="21" xfId="7" applyNumberFormat="1" applyFont="1" applyFill="1" applyBorder="1" applyAlignment="1">
      <alignment horizontal="right"/>
    </xf>
    <xf numFmtId="167" fontId="4" fillId="0" borderId="24" xfId="6" applyNumberFormat="1" applyFont="1" applyFill="1" applyBorder="1" applyAlignment="1">
      <alignment horizontal="right"/>
    </xf>
    <xf numFmtId="167" fontId="9" fillId="0" borderId="21" xfId="7" applyNumberFormat="1" applyFont="1" applyFill="1" applyBorder="1" applyAlignment="1">
      <alignment horizontal="right" vertical="center" wrapText="1"/>
    </xf>
    <xf numFmtId="167" fontId="9" fillId="0" borderId="24" xfId="7" applyNumberFormat="1" applyFont="1" applyFill="1" applyBorder="1" applyAlignment="1">
      <alignment horizontal="right" vertical="center"/>
    </xf>
    <xf numFmtId="167" fontId="9" fillId="0" borderId="24" xfId="7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/>
    </xf>
    <xf numFmtId="172" fontId="0" fillId="0" borderId="21" xfId="0" applyNumberFormat="1" applyFill="1" applyBorder="1" applyAlignment="1">
      <alignment horizontal="right"/>
    </xf>
    <xf numFmtId="169" fontId="0" fillId="0" borderId="21" xfId="7" applyNumberFormat="1" applyFont="1" applyBorder="1"/>
    <xf numFmtId="169" fontId="0" fillId="0" borderId="24" xfId="7" applyNumberFormat="1" applyFont="1" applyBorder="1"/>
    <xf numFmtId="169" fontId="0" fillId="0" borderId="21" xfId="7" applyNumberFormat="1" applyFont="1" applyFill="1" applyBorder="1"/>
    <xf numFmtId="0" fontId="0" fillId="0" borderId="8" xfId="1" applyNumberFormat="1" applyFont="1" applyFill="1" applyBorder="1"/>
    <xf numFmtId="0" fontId="0" fillId="0" borderId="20" xfId="1" applyNumberFormat="1" applyFont="1" applyFill="1" applyBorder="1"/>
    <xf numFmtId="169" fontId="0" fillId="0" borderId="20" xfId="0" applyNumberFormat="1" applyFill="1" applyBorder="1"/>
    <xf numFmtId="169" fontId="0" fillId="0" borderId="20" xfId="7" applyNumberFormat="1" applyFont="1" applyFill="1" applyBorder="1"/>
    <xf numFmtId="0" fontId="0" fillId="0" borderId="22" xfId="0" applyFill="1" applyBorder="1" applyAlignment="1">
      <alignment wrapText="1"/>
    </xf>
    <xf numFmtId="44" fontId="0" fillId="0" borderId="23" xfId="7" applyFont="1" applyFill="1" applyBorder="1"/>
    <xf numFmtId="0" fontId="13" fillId="0" borderId="0" xfId="0" applyFont="1"/>
    <xf numFmtId="0" fontId="3" fillId="0" borderId="12" xfId="0" applyFont="1" applyBorder="1" applyAlignment="1">
      <alignment horizontal="right"/>
    </xf>
    <xf numFmtId="169" fontId="0" fillId="0" borderId="33" xfId="7" applyNumberFormat="1" applyFont="1" applyBorder="1"/>
    <xf numFmtId="0" fontId="0" fillId="7" borderId="21" xfId="6" applyNumberFormat="1" applyFont="1" applyFill="1" applyBorder="1" applyAlignment="1">
      <alignment horizontal="center"/>
    </xf>
    <xf numFmtId="0" fontId="3" fillId="6" borderId="21" xfId="6" applyNumberFormat="1" applyFont="1" applyFill="1" applyBorder="1" applyAlignment="1">
      <alignment horizontal="center"/>
    </xf>
    <xf numFmtId="0" fontId="4" fillId="5" borderId="21" xfId="6" applyNumberFormat="1" applyFont="1" applyFill="1" applyBorder="1" applyAlignment="1">
      <alignment horizontal="center"/>
    </xf>
    <xf numFmtId="0" fontId="0" fillId="0" borderId="21" xfId="6" applyNumberFormat="1" applyFont="1" applyBorder="1" applyAlignment="1">
      <alignment horizontal="center"/>
    </xf>
    <xf numFmtId="169" fontId="0" fillId="7" borderId="21" xfId="7" applyNumberFormat="1" applyFont="1" applyFill="1" applyBorder="1"/>
    <xf numFmtId="0" fontId="0" fillId="7" borderId="19" xfId="6" applyNumberFormat="1" applyFont="1" applyFill="1" applyBorder="1" applyAlignment="1">
      <alignment horizontal="center"/>
    </xf>
    <xf numFmtId="0" fontId="0" fillId="7" borderId="20" xfId="6" applyNumberFormat="1" applyFont="1" applyFill="1" applyBorder="1" applyAlignment="1">
      <alignment horizontal="center"/>
    </xf>
    <xf numFmtId="0" fontId="3" fillId="6" borderId="19" xfId="6" applyNumberFormat="1" applyFont="1" applyFill="1" applyBorder="1" applyAlignment="1">
      <alignment horizontal="center"/>
    </xf>
    <xf numFmtId="0" fontId="3" fillId="6" borderId="20" xfId="6" applyNumberFormat="1" applyFont="1" applyFill="1" applyBorder="1" applyAlignment="1">
      <alignment horizontal="center"/>
    </xf>
    <xf numFmtId="0" fontId="4" fillId="5" borderId="19" xfId="6" applyNumberFormat="1" applyFont="1" applyFill="1" applyBorder="1" applyAlignment="1">
      <alignment horizontal="center"/>
    </xf>
    <xf numFmtId="0" fontId="4" fillId="5" borderId="20" xfId="6" applyNumberFormat="1" applyFont="1" applyFill="1" applyBorder="1" applyAlignment="1">
      <alignment horizontal="center"/>
    </xf>
    <xf numFmtId="0" fontId="0" fillId="0" borderId="19" xfId="6" applyNumberFormat="1" applyFont="1" applyBorder="1" applyAlignment="1">
      <alignment horizontal="center"/>
    </xf>
    <xf numFmtId="0" fontId="0" fillId="0" borderId="20" xfId="6" applyNumberFormat="1" applyFont="1" applyBorder="1" applyAlignment="1">
      <alignment horizontal="center"/>
    </xf>
    <xf numFmtId="0" fontId="0" fillId="0" borderId="22" xfId="6" applyNumberFormat="1" applyFont="1" applyBorder="1" applyAlignment="1">
      <alignment horizontal="center"/>
    </xf>
    <xf numFmtId="0" fontId="0" fillId="0" borderId="24" xfId="6" applyNumberFormat="1" applyFont="1" applyBorder="1" applyAlignment="1">
      <alignment horizontal="center"/>
    </xf>
    <xf numFmtId="0" fontId="0" fillId="0" borderId="23" xfId="6" applyNumberFormat="1" applyFont="1" applyBorder="1" applyAlignment="1">
      <alignment horizontal="center"/>
    </xf>
    <xf numFmtId="169" fontId="0" fillId="7" borderId="17" xfId="7" applyNumberFormat="1" applyFont="1" applyFill="1" applyBorder="1"/>
    <xf numFmtId="169" fontId="0" fillId="7" borderId="18" xfId="7" applyNumberFormat="1" applyFont="1" applyFill="1" applyBorder="1"/>
    <xf numFmtId="169" fontId="0" fillId="0" borderId="18" xfId="7" applyNumberFormat="1" applyFont="1" applyBorder="1"/>
    <xf numFmtId="169" fontId="0" fillId="7" borderId="19" xfId="7" applyNumberFormat="1" applyFont="1" applyFill="1" applyBorder="1"/>
    <xf numFmtId="169" fontId="0" fillId="7" borderId="20" xfId="7" applyNumberFormat="1" applyFont="1" applyFill="1" applyBorder="1"/>
    <xf numFmtId="169" fontId="3" fillId="6" borderId="19" xfId="7" applyNumberFormat="1" applyFont="1" applyFill="1" applyBorder="1"/>
    <xf numFmtId="169" fontId="3" fillId="6" borderId="20" xfId="7" applyNumberFormat="1" applyFont="1" applyFill="1" applyBorder="1"/>
    <xf numFmtId="169" fontId="4" fillId="5" borderId="19" xfId="7" applyNumberFormat="1" applyFont="1" applyFill="1" applyBorder="1"/>
    <xf numFmtId="169" fontId="4" fillId="5" borderId="20" xfId="7" applyNumberFormat="1" applyFont="1" applyFill="1" applyBorder="1"/>
    <xf numFmtId="169" fontId="0" fillId="0" borderId="19" xfId="7" applyNumberFormat="1" applyFont="1" applyBorder="1"/>
    <xf numFmtId="169" fontId="0" fillId="0" borderId="20" xfId="7" applyNumberFormat="1" applyFont="1" applyBorder="1"/>
    <xf numFmtId="169" fontId="0" fillId="0" borderId="23" xfId="7" applyNumberFormat="1" applyFont="1" applyBorder="1"/>
    <xf numFmtId="169" fontId="0" fillId="0" borderId="17" xfId="7" applyNumberFormat="1" applyFont="1" applyFill="1" applyBorder="1"/>
    <xf numFmtId="169" fontId="0" fillId="0" borderId="50" xfId="7" applyNumberFormat="1" applyFont="1" applyBorder="1"/>
    <xf numFmtId="0" fontId="0" fillId="7" borderId="12" xfId="6" applyNumberFormat="1" applyFont="1" applyFill="1" applyBorder="1" applyAlignment="1">
      <alignment horizontal="center"/>
    </xf>
    <xf numFmtId="0" fontId="0" fillId="7" borderId="33" xfId="6" applyNumberFormat="1" applyFont="1" applyFill="1" applyBorder="1" applyAlignment="1">
      <alignment horizontal="center"/>
    </xf>
    <xf numFmtId="0" fontId="0" fillId="7" borderId="13" xfId="6" applyNumberFormat="1" applyFont="1" applyFill="1" applyBorder="1" applyAlignment="1">
      <alignment horizontal="center"/>
    </xf>
    <xf numFmtId="169" fontId="0" fillId="7" borderId="32" xfId="7" applyNumberFormat="1" applyFont="1" applyFill="1" applyBorder="1"/>
    <xf numFmtId="169" fontId="0" fillId="7" borderId="31" xfId="7" applyNumberFormat="1" applyFont="1" applyFill="1" applyBorder="1"/>
    <xf numFmtId="169" fontId="0" fillId="7" borderId="12" xfId="7" applyNumberFormat="1" applyFont="1" applyFill="1" applyBorder="1"/>
    <xf numFmtId="169" fontId="0" fillId="7" borderId="13" xfId="7" applyNumberFormat="1" applyFont="1" applyFill="1" applyBorder="1"/>
    <xf numFmtId="0" fontId="3" fillId="0" borderId="25" xfId="0" applyFont="1" applyBorder="1" applyAlignment="1">
      <alignment horizontal="center"/>
    </xf>
    <xf numFmtId="169" fontId="0" fillId="6" borderId="21" xfId="7" applyNumberFormat="1" applyFont="1" applyFill="1" applyBorder="1"/>
    <xf numFmtId="169" fontId="0" fillId="6" borderId="20" xfId="7" applyNumberFormat="1" applyFont="1" applyFill="1" applyBorder="1"/>
    <xf numFmtId="169" fontId="0" fillId="0" borderId="24" xfId="7" applyNumberFormat="1" applyFont="1" applyFill="1" applyBorder="1"/>
    <xf numFmtId="169" fontId="0" fillId="6" borderId="17" xfId="7" applyNumberFormat="1" applyFont="1" applyFill="1" applyBorder="1"/>
    <xf numFmtId="169" fontId="0" fillId="0" borderId="25" xfId="7" applyNumberFormat="1" applyFont="1" applyFill="1" applyBorder="1"/>
    <xf numFmtId="0" fontId="0" fillId="6" borderId="18" xfId="0" applyFill="1" applyBorder="1"/>
    <xf numFmtId="0" fontId="3" fillId="0" borderId="18" xfId="0" applyFont="1" applyBorder="1"/>
    <xf numFmtId="0" fontId="0" fillId="2" borderId="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170" fontId="0" fillId="2" borderId="20" xfId="0" applyNumberFormat="1" applyFill="1" applyBorder="1" applyAlignment="1">
      <alignment horizontal="center"/>
    </xf>
    <xf numFmtId="170" fontId="0" fillId="2" borderId="23" xfId="0" applyNumberFormat="1" applyFill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167" fontId="0" fillId="2" borderId="20" xfId="0" applyNumberFormat="1" applyFill="1" applyBorder="1" applyAlignment="1">
      <alignment horizontal="center"/>
    </xf>
    <xf numFmtId="167" fontId="0" fillId="2" borderId="23" xfId="0" applyNumberFormat="1" applyFill="1" applyBorder="1" applyAlignment="1">
      <alignment horizontal="center"/>
    </xf>
    <xf numFmtId="169" fontId="0" fillId="6" borderId="18" xfId="7" applyNumberFormat="1" applyFont="1" applyFill="1" applyBorder="1"/>
    <xf numFmtId="169" fontId="0" fillId="0" borderId="18" xfId="7" applyNumberFormat="1" applyFont="1" applyFill="1" applyBorder="1"/>
    <xf numFmtId="167" fontId="0" fillId="0" borderId="0" xfId="0" applyNumberFormat="1" applyFill="1"/>
    <xf numFmtId="0" fontId="0" fillId="0" borderId="0" xfId="0" applyNumberFormat="1" applyFill="1"/>
    <xf numFmtId="173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6" fontId="3" fillId="0" borderId="0" xfId="0" applyNumberFormat="1" applyFont="1" applyFill="1" applyBorder="1"/>
    <xf numFmtId="173" fontId="3" fillId="0" borderId="0" xfId="0" applyNumberFormat="1" applyFont="1" applyFill="1" applyBorder="1"/>
    <xf numFmtId="0" fontId="0" fillId="0" borderId="0" xfId="0" quotePrefix="1" applyFill="1" applyBorder="1"/>
    <xf numFmtId="0" fontId="0" fillId="0" borderId="0" xfId="0" applyNumberFormat="1" applyFill="1" applyBorder="1"/>
    <xf numFmtId="0" fontId="0" fillId="7" borderId="20" xfId="0" applyFill="1" applyBorder="1"/>
    <xf numFmtId="169" fontId="3" fillId="0" borderId="34" xfId="7" applyNumberFormat="1" applyFont="1" applyBorder="1"/>
    <xf numFmtId="169" fontId="0" fillId="7" borderId="33" xfId="7" applyNumberFormat="1" applyFont="1" applyFill="1" applyBorder="1"/>
    <xf numFmtId="6" fontId="0" fillId="7" borderId="14" xfId="0" applyNumberFormat="1" applyFill="1" applyBorder="1"/>
    <xf numFmtId="169" fontId="0" fillId="7" borderId="14" xfId="7" applyNumberFormat="1" applyFont="1" applyFill="1" applyBorder="1"/>
    <xf numFmtId="169" fontId="0" fillId="7" borderId="16" xfId="7" applyNumberFormat="1" applyFont="1" applyFill="1" applyBorder="1"/>
    <xf numFmtId="169" fontId="3" fillId="6" borderId="16" xfId="7" applyNumberFormat="1" applyFont="1" applyFill="1" applyBorder="1"/>
    <xf numFmtId="169" fontId="4" fillId="5" borderId="16" xfId="7" applyNumberFormat="1" applyFont="1" applyFill="1" applyBorder="1"/>
    <xf numFmtId="169" fontId="0" fillId="0" borderId="16" xfId="7" applyNumberFormat="1" applyFont="1" applyFill="1" applyBorder="1"/>
    <xf numFmtId="169" fontId="0" fillId="0" borderId="51" xfId="7" applyNumberFormat="1" applyFont="1" applyFill="1" applyBorder="1"/>
    <xf numFmtId="169" fontId="0" fillId="7" borderId="44" xfId="7" applyNumberFormat="1" applyFont="1" applyFill="1" applyBorder="1"/>
    <xf numFmtId="169" fontId="3" fillId="6" borderId="44" xfId="7" applyNumberFormat="1" applyFont="1" applyFill="1" applyBorder="1"/>
    <xf numFmtId="169" fontId="4" fillId="5" borderId="44" xfId="7" applyNumberFormat="1" applyFont="1" applyFill="1" applyBorder="1"/>
    <xf numFmtId="169" fontId="0" fillId="0" borderId="44" xfId="7" applyNumberFormat="1" applyFont="1" applyFill="1" applyBorder="1"/>
    <xf numFmtId="0" fontId="3" fillId="0" borderId="2" xfId="0" applyFont="1" applyBorder="1"/>
    <xf numFmtId="17" fontId="3" fillId="0" borderId="18" xfId="0" applyNumberFormat="1" applyFont="1" applyBorder="1"/>
    <xf numFmtId="167" fontId="3" fillId="0" borderId="18" xfId="7" applyNumberFormat="1" applyFont="1" applyFill="1" applyBorder="1" applyAlignment="1">
      <alignment horizontal="right"/>
    </xf>
    <xf numFmtId="167" fontId="3" fillId="0" borderId="50" xfId="7" applyNumberFormat="1" applyFont="1" applyFill="1" applyBorder="1" applyAlignment="1">
      <alignment horizontal="right"/>
    </xf>
    <xf numFmtId="167" fontId="3" fillId="0" borderId="31" xfId="7" applyNumberFormat="1" applyFont="1" applyFill="1" applyBorder="1" applyAlignment="1">
      <alignment horizontal="right"/>
    </xf>
    <xf numFmtId="0" fontId="3" fillId="0" borderId="43" xfId="0" applyFont="1" applyBorder="1" applyAlignment="1">
      <alignment wrapText="1"/>
    </xf>
    <xf numFmtId="172" fontId="0" fillId="0" borderId="44" xfId="0" applyNumberFormat="1" applyFill="1" applyBorder="1"/>
    <xf numFmtId="169" fontId="4" fillId="0" borderId="44" xfId="7" applyNumberFormat="1" applyFont="1" applyFill="1" applyBorder="1"/>
    <xf numFmtId="169" fontId="4" fillId="0" borderId="47" xfId="7" applyNumberFormat="1" applyFont="1" applyFill="1" applyBorder="1"/>
    <xf numFmtId="169" fontId="3" fillId="0" borderId="48" xfId="7" applyNumberFormat="1" applyFont="1" applyFill="1" applyBorder="1"/>
    <xf numFmtId="169" fontId="3" fillId="0" borderId="44" xfId="7" applyNumberFormat="1" applyFont="1" applyFill="1" applyBorder="1"/>
    <xf numFmtId="169" fontId="3" fillId="0" borderId="47" xfId="7" applyNumberFormat="1" applyFont="1" applyFill="1" applyBorder="1"/>
    <xf numFmtId="169" fontId="0" fillId="0" borderId="52" xfId="7" applyNumberFormat="1" applyFont="1" applyFill="1" applyBorder="1"/>
    <xf numFmtId="167" fontId="3" fillId="0" borderId="49" xfId="0" applyNumberFormat="1" applyFont="1" applyBorder="1"/>
    <xf numFmtId="169" fontId="0" fillId="0" borderId="20" xfId="0" applyNumberFormat="1" applyFont="1" applyBorder="1" applyAlignment="1">
      <alignment horizontal="left"/>
    </xf>
    <xf numFmtId="169" fontId="0" fillId="0" borderId="20" xfId="0" applyNumberFormat="1" applyFont="1" applyBorder="1"/>
    <xf numFmtId="169" fontId="0" fillId="0" borderId="13" xfId="0" applyNumberFormat="1" applyFont="1" applyBorder="1" applyAlignment="1">
      <alignment horizontal="left"/>
    </xf>
    <xf numFmtId="169" fontId="0" fillId="0" borderId="32" xfId="0" applyNumberFormat="1" applyFont="1" applyBorder="1" applyAlignment="1">
      <alignment horizontal="left"/>
    </xf>
    <xf numFmtId="169" fontId="0" fillId="0" borderId="17" xfId="0" applyNumberFormat="1" applyFont="1" applyBorder="1" applyAlignment="1">
      <alignment horizontal="left"/>
    </xf>
    <xf numFmtId="169" fontId="0" fillId="0" borderId="17" xfId="0" applyNumberFormat="1" applyFont="1" applyBorder="1" applyAlignment="1">
      <alignment horizontal="right"/>
    </xf>
    <xf numFmtId="0" fontId="0" fillId="0" borderId="48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/>
    </xf>
    <xf numFmtId="0" fontId="0" fillId="0" borderId="44" xfId="0" applyBorder="1"/>
    <xf numFmtId="0" fontId="0" fillId="0" borderId="52" xfId="0" applyBorder="1"/>
    <xf numFmtId="169" fontId="0" fillId="0" borderId="30" xfId="0" applyNumberFormat="1" applyFont="1" applyBorder="1" applyAlignment="1">
      <alignment horizontal="right"/>
    </xf>
    <xf numFmtId="169" fontId="0" fillId="0" borderId="38" xfId="0" applyNumberFormat="1" applyFont="1" applyBorder="1" applyAlignment="1">
      <alignment horizontal="right"/>
    </xf>
    <xf numFmtId="0" fontId="3" fillId="3" borderId="44" xfId="0" applyFont="1" applyFill="1" applyBorder="1"/>
    <xf numFmtId="169" fontId="3" fillId="3" borderId="17" xfId="0" applyNumberFormat="1" applyFont="1" applyFill="1" applyBorder="1" applyAlignment="1">
      <alignment horizontal="left"/>
    </xf>
    <xf numFmtId="169" fontId="3" fillId="3" borderId="20" xfId="0" applyNumberFormat="1" applyFont="1" applyFill="1" applyBorder="1" applyAlignment="1">
      <alignment horizontal="left"/>
    </xf>
    <xf numFmtId="0" fontId="3" fillId="3" borderId="49" xfId="0" applyFont="1" applyFill="1" applyBorder="1"/>
    <xf numFmtId="2" fontId="3" fillId="3" borderId="42" xfId="0" applyNumberFormat="1" applyFont="1" applyFill="1" applyBorder="1" applyAlignment="1">
      <alignment horizontal="center"/>
    </xf>
    <xf numFmtId="2" fontId="3" fillId="3" borderId="3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167" fontId="0" fillId="7" borderId="19" xfId="0" applyNumberFormat="1" applyFont="1" applyFill="1" applyBorder="1"/>
    <xf numFmtId="167" fontId="0" fillId="6" borderId="19" xfId="0" applyNumberFormat="1" applyFont="1" applyFill="1" applyBorder="1"/>
    <xf numFmtId="167" fontId="0" fillId="0" borderId="19" xfId="0" applyNumberFormat="1" applyFont="1" applyFill="1" applyBorder="1"/>
    <xf numFmtId="167" fontId="0" fillId="0" borderId="22" xfId="0" applyNumberFormat="1" applyFont="1" applyFill="1" applyBorder="1"/>
    <xf numFmtId="0" fontId="0" fillId="5" borderId="0" xfId="0" applyFill="1" applyBorder="1" applyAlignment="1"/>
    <xf numFmtId="0" fontId="0" fillId="5" borderId="0" xfId="0" applyFill="1" applyBorder="1"/>
    <xf numFmtId="169" fontId="0" fillId="5" borderId="0" xfId="0" applyNumberFormat="1" applyFont="1" applyFill="1" applyBorder="1" applyAlignment="1">
      <alignment horizontal="left"/>
    </xf>
    <xf numFmtId="169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/>
    <xf numFmtId="169" fontId="3" fillId="5" borderId="0" xfId="0" applyNumberFormat="1" applyFont="1" applyFill="1" applyBorder="1" applyAlignment="1">
      <alignment horizontal="left"/>
    </xf>
    <xf numFmtId="2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/>
    </xf>
    <xf numFmtId="169" fontId="3" fillId="8" borderId="0" xfId="7" applyNumberFormat="1" applyFont="1" applyFill="1" applyBorder="1"/>
    <xf numFmtId="169" fontId="0" fillId="8" borderId="22" xfId="7" applyNumberFormat="1" applyFont="1" applyFill="1" applyBorder="1"/>
    <xf numFmtId="169" fontId="0" fillId="8" borderId="23" xfId="7" applyNumberFormat="1" applyFont="1" applyFill="1" applyBorder="1"/>
    <xf numFmtId="165" fontId="0" fillId="0" borderId="0" xfId="0" applyNumberFormat="1"/>
    <xf numFmtId="168" fontId="0" fillId="0" borderId="0" xfId="1" applyNumberFormat="1" applyFont="1"/>
    <xf numFmtId="167" fontId="0" fillId="8" borderId="0" xfId="0" applyNumberFormat="1" applyFill="1"/>
    <xf numFmtId="0" fontId="0" fillId="0" borderId="0" xfId="0" applyAlignment="1"/>
    <xf numFmtId="0" fontId="3" fillId="2" borderId="1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3" fillId="2" borderId="28" xfId="0" applyFont="1" applyFill="1" applyBorder="1"/>
    <xf numFmtId="0" fontId="3" fillId="2" borderId="0" xfId="0" applyFont="1" applyFill="1" applyBorder="1"/>
    <xf numFmtId="0" fontId="3" fillId="2" borderId="29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3" fillId="2" borderId="20" xfId="0" applyFont="1" applyFill="1" applyBorder="1"/>
    <xf numFmtId="0" fontId="0" fillId="2" borderId="19" xfId="0" applyFill="1" applyBorder="1"/>
    <xf numFmtId="0" fontId="0" fillId="2" borderId="21" xfId="0" applyFill="1" applyBorder="1"/>
    <xf numFmtId="167" fontId="0" fillId="2" borderId="20" xfId="0" applyNumberFormat="1" applyFill="1" applyBorder="1"/>
    <xf numFmtId="6" fontId="0" fillId="9" borderId="20" xfId="0" applyNumberFormat="1" applyFill="1" applyBorder="1"/>
    <xf numFmtId="6" fontId="0" fillId="9" borderId="23" xfId="0" applyNumberFormat="1" applyFill="1" applyBorder="1"/>
    <xf numFmtId="0" fontId="0" fillId="9" borderId="20" xfId="0" applyFill="1" applyBorder="1"/>
    <xf numFmtId="8" fontId="0" fillId="9" borderId="20" xfId="0" applyNumberFormat="1" applyFill="1" applyBorder="1"/>
    <xf numFmtId="8" fontId="0" fillId="9" borderId="23" xfId="0" applyNumberFormat="1" applyFill="1" applyBorder="1"/>
    <xf numFmtId="0" fontId="0" fillId="9" borderId="23" xfId="0" applyFill="1" applyBorder="1"/>
    <xf numFmtId="169" fontId="0" fillId="4" borderId="0" xfId="7" applyNumberFormat="1" applyFont="1" applyFill="1" applyBorder="1"/>
    <xf numFmtId="167" fontId="0" fillId="4" borderId="18" xfId="0" applyNumberFormat="1" applyFill="1" applyBorder="1" applyAlignment="1">
      <alignment horizontal="center"/>
    </xf>
    <xf numFmtId="167" fontId="0" fillId="4" borderId="5" xfId="0" applyNumberFormat="1" applyFill="1" applyBorder="1" applyAlignment="1">
      <alignment horizontal="center"/>
    </xf>
    <xf numFmtId="167" fontId="0" fillId="4" borderId="11" xfId="0" applyNumberFormat="1" applyFill="1" applyBorder="1" applyAlignment="1">
      <alignment horizontal="center"/>
    </xf>
    <xf numFmtId="167" fontId="0" fillId="4" borderId="21" xfId="0" applyNumberFormat="1" applyFill="1" applyBorder="1" applyAlignment="1">
      <alignment horizontal="center"/>
    </xf>
    <xf numFmtId="167" fontId="0" fillId="4" borderId="24" xfId="0" applyNumberFormat="1" applyFill="1" applyBorder="1" applyAlignment="1">
      <alignment horizontal="center"/>
    </xf>
    <xf numFmtId="0" fontId="0" fillId="4" borderId="19" xfId="0" applyFill="1" applyBorder="1" applyAlignment="1">
      <alignment horizontal="left"/>
    </xf>
    <xf numFmtId="167" fontId="0" fillId="4" borderId="20" xfId="0" applyNumberFormat="1" applyFill="1" applyBorder="1" applyAlignment="1">
      <alignment horizontal="center"/>
    </xf>
    <xf numFmtId="169" fontId="0" fillId="2" borderId="7" xfId="7" applyNumberFormat="1" applyFont="1" applyFill="1" applyBorder="1" applyAlignment="1">
      <alignment horizontal="left"/>
    </xf>
    <xf numFmtId="169" fontId="0" fillId="2" borderId="19" xfId="7" applyNumberFormat="1" applyFont="1" applyFill="1" applyBorder="1" applyAlignment="1">
      <alignment horizontal="left"/>
    </xf>
    <xf numFmtId="169" fontId="0" fillId="2" borderId="22" xfId="7" applyNumberFormat="1" applyFont="1" applyFill="1" applyBorder="1" applyAlignment="1">
      <alignment horizontal="left"/>
    </xf>
    <xf numFmtId="0" fontId="0" fillId="9" borderId="19" xfId="0" applyFill="1" applyBorder="1" applyAlignment="1">
      <alignment horizontal="left"/>
    </xf>
    <xf numFmtId="167" fontId="0" fillId="9" borderId="21" xfId="0" applyNumberFormat="1" applyFill="1" applyBorder="1" applyAlignment="1">
      <alignment horizontal="center"/>
    </xf>
    <xf numFmtId="0" fontId="0" fillId="9" borderId="6" xfId="0" applyFill="1" applyBorder="1" applyAlignment="1">
      <alignment horizontal="left"/>
    </xf>
    <xf numFmtId="167" fontId="0" fillId="9" borderId="20" xfId="0" applyNumberFormat="1" applyFill="1" applyBorder="1" applyAlignment="1">
      <alignment horizontal="center"/>
    </xf>
    <xf numFmtId="0" fontId="0" fillId="4" borderId="19" xfId="0" applyFill="1" applyBorder="1" applyAlignment="1">
      <alignment horizontal="left" wrapText="1"/>
    </xf>
    <xf numFmtId="0" fontId="0" fillId="4" borderId="21" xfId="0" applyFill="1" applyBorder="1" applyAlignment="1">
      <alignment horizontal="center"/>
    </xf>
    <xf numFmtId="0" fontId="0" fillId="9" borderId="19" xfId="0" applyFill="1" applyBorder="1" applyAlignment="1">
      <alignment horizontal="left" wrapText="1"/>
    </xf>
    <xf numFmtId="0" fontId="0" fillId="9" borderId="21" xfId="0" applyFill="1" applyBorder="1" applyAlignment="1">
      <alignment horizontal="center"/>
    </xf>
    <xf numFmtId="170" fontId="0" fillId="9" borderId="27" xfId="0" applyNumberFormat="1" applyFill="1" applyBorder="1" applyAlignment="1">
      <alignment horizontal="center"/>
    </xf>
    <xf numFmtId="44" fontId="0" fillId="0" borderId="21" xfId="7" applyFont="1" applyBorder="1"/>
    <xf numFmtId="0" fontId="3" fillId="0" borderId="2" xfId="0" applyFont="1" applyBorder="1" applyAlignment="1">
      <alignment horizontal="right"/>
    </xf>
    <xf numFmtId="172" fontId="0" fillId="0" borderId="18" xfId="0" applyNumberFormat="1" applyFill="1" applyBorder="1" applyAlignment="1">
      <alignment horizontal="right"/>
    </xf>
    <xf numFmtId="167" fontId="4" fillId="0" borderId="18" xfId="7" applyNumberFormat="1" applyFont="1" applyFill="1" applyBorder="1" applyAlignment="1">
      <alignment horizontal="right"/>
    </xf>
    <xf numFmtId="167" fontId="9" fillId="0" borderId="50" xfId="7" applyNumberFormat="1" applyFont="1" applyFill="1" applyBorder="1" applyAlignment="1">
      <alignment horizontal="right" vertical="center" wrapText="1"/>
    </xf>
    <xf numFmtId="169" fontId="0" fillId="0" borderId="31" xfId="7" applyNumberFormat="1" applyFont="1" applyBorder="1"/>
    <xf numFmtId="0" fontId="15" fillId="0" borderId="0" xfId="9" applyFont="1"/>
    <xf numFmtId="0" fontId="14" fillId="7" borderId="0" xfId="9" applyFont="1" applyFill="1" applyAlignment="1">
      <alignment horizontal="right"/>
    </xf>
    <xf numFmtId="0" fontId="2" fillId="7" borderId="0" xfId="9" applyFill="1"/>
    <xf numFmtId="0" fontId="14" fillId="7" borderId="0" xfId="9" applyFont="1" applyFill="1"/>
    <xf numFmtId="1" fontId="14" fillId="7" borderId="0" xfId="9" applyNumberFormat="1" applyFont="1" applyFill="1" applyAlignment="1">
      <alignment horizontal="left"/>
    </xf>
    <xf numFmtId="0" fontId="14" fillId="0" borderId="0" xfId="9" applyFont="1"/>
    <xf numFmtId="0" fontId="2" fillId="0" borderId="0" xfId="9"/>
    <xf numFmtId="0" fontId="14" fillId="0" borderId="0" xfId="9" applyFont="1" applyAlignment="1">
      <alignment horizontal="right"/>
    </xf>
    <xf numFmtId="1" fontId="2" fillId="0" borderId="0" xfId="9" applyNumberFormat="1" applyAlignment="1">
      <alignment horizontal="left"/>
    </xf>
    <xf numFmtId="174" fontId="0" fillId="0" borderId="0" xfId="10" applyNumberFormat="1" applyFont="1"/>
    <xf numFmtId="1" fontId="2" fillId="0" borderId="0" xfId="9" applyNumberFormat="1"/>
    <xf numFmtId="165" fontId="2" fillId="0" borderId="0" xfId="9" applyNumberFormat="1"/>
    <xf numFmtId="174" fontId="0" fillId="7" borderId="0" xfId="10" applyNumberFormat="1" applyFont="1" applyFill="1"/>
    <xf numFmtId="165" fontId="0" fillId="0" borderId="0" xfId="10" applyNumberFormat="1" applyFont="1"/>
    <xf numFmtId="165" fontId="0" fillId="7" borderId="0" xfId="10" applyNumberFormat="1" applyFont="1" applyFill="1"/>
    <xf numFmtId="175" fontId="2" fillId="0" borderId="0" xfId="9" applyNumberFormat="1"/>
    <xf numFmtId="175" fontId="2" fillId="7" borderId="0" xfId="9" applyNumberFormat="1" applyFill="1"/>
    <xf numFmtId="167" fontId="0" fillId="0" borderId="0" xfId="10" applyNumberFormat="1" applyFont="1"/>
    <xf numFmtId="9" fontId="0" fillId="0" borderId="0" xfId="11" applyFont="1" applyFill="1"/>
    <xf numFmtId="9" fontId="0" fillId="0" borderId="0" xfId="11" applyFont="1"/>
    <xf numFmtId="9" fontId="2" fillId="0" borderId="0" xfId="9" applyNumberFormat="1"/>
    <xf numFmtId="0" fontId="2" fillId="2" borderId="0" xfId="9" applyFill="1"/>
    <xf numFmtId="0" fontId="2" fillId="0" borderId="21" xfId="9" applyBorder="1"/>
    <xf numFmtId="3" fontId="2" fillId="0" borderId="21" xfId="9" applyNumberFormat="1" applyBorder="1"/>
    <xf numFmtId="1" fontId="2" fillId="0" borderId="21" xfId="9" applyNumberFormat="1" applyBorder="1"/>
    <xf numFmtId="9" fontId="2" fillId="7" borderId="0" xfId="9" applyNumberFormat="1" applyFill="1" applyAlignment="1">
      <alignment horizontal="left"/>
    </xf>
    <xf numFmtId="9" fontId="2" fillId="0" borderId="0" xfId="9" applyNumberFormat="1" applyAlignment="1">
      <alignment horizontal="left"/>
    </xf>
    <xf numFmtId="0" fontId="14" fillId="0" borderId="21" xfId="9" applyFont="1" applyBorder="1"/>
    <xf numFmtId="14" fontId="2" fillId="0" borderId="21" xfId="9" applyNumberFormat="1" applyBorder="1"/>
    <xf numFmtId="1" fontId="14" fillId="0" borderId="21" xfId="9" applyNumberFormat="1" applyFont="1" applyBorder="1"/>
    <xf numFmtId="3" fontId="14" fillId="0" borderId="0" xfId="9" applyNumberFormat="1" applyFont="1"/>
    <xf numFmtId="3" fontId="2" fillId="0" borderId="0" xfId="9" applyNumberFormat="1"/>
    <xf numFmtId="169" fontId="0" fillId="0" borderId="23" xfId="7" applyNumberFormat="1" applyFont="1" applyFill="1" applyBorder="1"/>
    <xf numFmtId="0" fontId="3" fillId="0" borderId="51" xfId="0" applyFont="1" applyBorder="1" applyAlignment="1">
      <alignment horizontal="center"/>
    </xf>
    <xf numFmtId="169" fontId="0" fillId="0" borderId="16" xfId="7" applyNumberFormat="1" applyFont="1" applyBorder="1"/>
    <xf numFmtId="169" fontId="0" fillId="8" borderId="51" xfId="7" applyNumberFormat="1" applyFont="1" applyFill="1" applyBorder="1"/>
    <xf numFmtId="3" fontId="0" fillId="0" borderId="0" xfId="0" applyNumberFormat="1"/>
    <xf numFmtId="169" fontId="0" fillId="0" borderId="50" xfId="7" applyNumberFormat="1" applyFont="1" applyFill="1" applyBorder="1"/>
    <xf numFmtId="0" fontId="1" fillId="0" borderId="0" xfId="9" applyFont="1"/>
    <xf numFmtId="1" fontId="0" fillId="0" borderId="0" xfId="10" applyNumberFormat="1" applyFont="1"/>
    <xf numFmtId="0" fontId="10" fillId="0" borderId="0" xfId="0" applyFont="1" applyAlignment="1"/>
    <xf numFmtId="0" fontId="0" fillId="0" borderId="0" xfId="0" applyAlignment="1"/>
    <xf numFmtId="0" fontId="3" fillId="0" borderId="4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0" fillId="5" borderId="0" xfId="0" applyFill="1" applyBorder="1" applyAlignment="1"/>
    <xf numFmtId="0" fontId="3" fillId="0" borderId="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7" xfId="0" applyFont="1" applyBorder="1" applyAlignment="1"/>
    <xf numFmtId="0" fontId="3" fillId="0" borderId="13" xfId="0" applyFont="1" applyBorder="1" applyAlignment="1"/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2" fillId="0" borderId="0" xfId="9" applyAlignment="1">
      <alignment horizontal="left" wrapText="1"/>
    </xf>
    <xf numFmtId="0" fontId="0" fillId="0" borderId="19" xfId="0" applyFill="1" applyBorder="1" applyAlignment="1"/>
    <xf numFmtId="0" fontId="0" fillId="0" borderId="21" xfId="0" applyFill="1" applyBorder="1" applyAlignment="1"/>
    <xf numFmtId="0" fontId="0" fillId="0" borderId="19" xfId="0" applyBorder="1" applyAlignment="1"/>
    <xf numFmtId="0" fontId="0" fillId="0" borderId="21" xfId="0" applyBorder="1" applyAlignment="1"/>
    <xf numFmtId="0" fontId="0" fillId="0" borderId="22" xfId="0" applyFill="1" applyBorder="1" applyAlignment="1"/>
    <xf numFmtId="0" fontId="0" fillId="0" borderId="24" xfId="0" applyFill="1" applyBorder="1" applyAlignment="1"/>
    <xf numFmtId="0" fontId="7" fillId="0" borderId="19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3" fillId="0" borderId="19" xfId="0" applyFont="1" applyBorder="1" applyAlignment="1"/>
    <xf numFmtId="0" fontId="3" fillId="0" borderId="21" xfId="0" applyFont="1" applyBorder="1" applyAlignment="1"/>
    <xf numFmtId="0" fontId="0" fillId="0" borderId="22" xfId="0" applyBorder="1" applyAlignment="1"/>
    <xf numFmtId="0" fontId="0" fillId="0" borderId="24" xfId="0" applyBorder="1" applyAlignment="1"/>
    <xf numFmtId="0" fontId="0" fillId="0" borderId="0" xfId="0" applyAlignment="1">
      <alignment horizontal="center"/>
    </xf>
    <xf numFmtId="0" fontId="3" fillId="0" borderId="7" xfId="0" applyFont="1" applyBorder="1" applyAlignment="1"/>
    <xf numFmtId="0" fontId="0" fillId="0" borderId="1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12" fillId="0" borderId="19" xfId="0" applyFont="1" applyBorder="1" applyAlignment="1"/>
    <xf numFmtId="0" fontId="12" fillId="0" borderId="21" xfId="0" applyFont="1" applyBorder="1" applyAlignment="1"/>
    <xf numFmtId="0" fontId="12" fillId="0" borderId="19" xfId="0" applyFont="1" applyFill="1" applyBorder="1" applyAlignment="1"/>
    <xf numFmtId="0" fontId="12" fillId="0" borderId="21" xfId="0" applyFont="1" applyFill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6" borderId="19" xfId="0" applyFont="1" applyFill="1" applyBorder="1" applyAlignment="1"/>
    <xf numFmtId="0" fontId="3" fillId="6" borderId="20" xfId="0" applyFont="1" applyFill="1" applyBorder="1" applyAlignment="1"/>
    <xf numFmtId="0" fontId="3" fillId="0" borderId="11" xfId="0" applyFont="1" applyBorder="1" applyAlignment="1">
      <alignment wrapText="1"/>
    </xf>
    <xf numFmtId="0" fontId="0" fillId="6" borderId="15" xfId="0" applyFill="1" applyBorder="1" applyAlignment="1"/>
    <xf numFmtId="0" fontId="0" fillId="6" borderId="16" xfId="0" applyFill="1" applyBorder="1" applyAlignment="1"/>
    <xf numFmtId="0" fontId="0" fillId="6" borderId="39" xfId="0" applyFill="1" applyBorder="1" applyAlignment="1"/>
    <xf numFmtId="0" fontId="0" fillId="6" borderId="45" xfId="0" applyFill="1" applyBorder="1" applyAlignment="1"/>
    <xf numFmtId="0" fontId="0" fillId="6" borderId="35" xfId="0" applyFill="1" applyBorder="1" applyAlignment="1"/>
    <xf numFmtId="0" fontId="0" fillId="6" borderId="46" xfId="0" applyFill="1" applyBorder="1" applyAlignment="1"/>
    <xf numFmtId="0" fontId="3" fillId="0" borderId="19" xfId="0" applyFont="1" applyFill="1" applyBorder="1" applyAlignment="1"/>
    <xf numFmtId="0" fontId="3" fillId="0" borderId="21" xfId="0" applyFont="1" applyFill="1" applyBorder="1" applyAlignment="1"/>
    <xf numFmtId="0" fontId="3" fillId="6" borderId="21" xfId="0" applyFont="1" applyFill="1" applyBorder="1" applyAlignment="1"/>
  </cellXfs>
  <cellStyles count="12">
    <cellStyle name="Comma" xfId="6" builtinId="3"/>
    <cellStyle name="Currency" xfId="7" builtinId="4"/>
    <cellStyle name="Currency 2" xfId="10" xr:uid="{9B38A4F0-483D-4EB7-8885-297E87BFA86F}"/>
    <cellStyle name="Hyperlink" xfId="5" builtinId="8"/>
    <cellStyle name="Normal" xfId="0" builtinId="0"/>
    <cellStyle name="Normal 2" xfId="2" xr:uid="{00000000-0005-0000-0000-000004000000}"/>
    <cellStyle name="Normal 2 2" xfId="4" xr:uid="{00000000-0005-0000-0000-000005000000}"/>
    <cellStyle name="Normal 3" xfId="8" xr:uid="{24A09FC3-06B6-440E-9E4A-F3FAE70A6EF1}"/>
    <cellStyle name="Normal 4" xfId="9" xr:uid="{3F0AAE97-F24B-4CA7-9E63-95DAFEE5FDC3}"/>
    <cellStyle name="Percent" xfId="1" builtinId="5"/>
    <cellStyle name="Percent 2" xfId="3" xr:uid="{00000000-0005-0000-0000-000008000000}"/>
    <cellStyle name="Percent 3" xfId="11" xr:uid="{20493006-4FCD-422E-9B39-9E90CE7C27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48</xdr:row>
      <xdr:rowOff>0</xdr:rowOff>
    </xdr:from>
    <xdr:to>
      <xdr:col>16</xdr:col>
      <xdr:colOff>136769</xdr:colOff>
      <xdr:row>60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118B69-1F49-42EB-A1BC-0074459F0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96300" y="10344150"/>
          <a:ext cx="5537444" cy="2286000"/>
        </a:xfrm>
        <a:prstGeom prst="rect">
          <a:avLst/>
        </a:prstGeom>
      </xdr:spPr>
    </xdr:pic>
    <xdr:clientData/>
  </xdr:twoCellAnchor>
  <xdr:twoCellAnchor>
    <xdr:from>
      <xdr:col>13</xdr:col>
      <xdr:colOff>190500</xdr:colOff>
      <xdr:row>55</xdr:row>
      <xdr:rowOff>171450</xdr:rowOff>
    </xdr:from>
    <xdr:to>
      <xdr:col>14</xdr:col>
      <xdr:colOff>190500</xdr:colOff>
      <xdr:row>57</xdr:row>
      <xdr:rowOff>66675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CE70F65-02FB-42CD-B5E2-3F878AE8577A}"/>
            </a:ext>
          </a:extLst>
        </xdr:cNvPr>
        <xdr:cNvSpPr/>
      </xdr:nvSpPr>
      <xdr:spPr>
        <a:xfrm>
          <a:off x="12058650" y="11782425"/>
          <a:ext cx="609600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182562</xdr:colOff>
      <xdr:row>12</xdr:row>
      <xdr:rowOff>134937</xdr:rowOff>
    </xdr:from>
    <xdr:to>
      <xdr:col>22</xdr:col>
      <xdr:colOff>535031</xdr:colOff>
      <xdr:row>51</xdr:row>
      <xdr:rowOff>119702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633421-8482-4425-80E7-6549DD99C7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1312" y="3532187"/>
          <a:ext cx="6035719" cy="7731765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74</xdr:row>
      <xdr:rowOff>0</xdr:rowOff>
    </xdr:from>
    <xdr:to>
      <xdr:col>49</xdr:col>
      <xdr:colOff>381436</xdr:colOff>
      <xdr:row>107</xdr:row>
      <xdr:rowOff>60691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3D7249-0EC3-4DB9-B0CF-498438B73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26125" y="14894719"/>
          <a:ext cx="15561905" cy="596190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rie Modi" id="{B302029B-D781-480E-9CA4-DEB226C66C08}" userId="S::c.modi@fehrandpeers.com::5a318389-e512-478d-9e2c-d0ec9af8f1e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8" dT="2022-05-03T16:20:37.26" personId="{B302029B-D781-480E-9CA4-DEB226C66C08}" id="{39B8E5E2-590D-4055-B8E7-50FC3D458CFC}">
    <text>what did you decide about how far out to look?  What feels defensible from a safety standpoint?  Since there are no parallel routes, that could be a reason to look at least 1/4 mile catchment area if not 1/2 mile buffer.</text>
  </threadedComment>
  <threadedComment ref="A42" dT="2022-05-03T16:21:05.55" personId="{B302029B-D781-480E-9CA4-DEB226C66C08}" id="{8E6E1A63-A8B7-4CA8-B56B-D0AFD92739EA}">
    <text>HAWK, Path, bike Lanes, anything else?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32" dT="2022-05-03T16:20:37.26" personId="{B302029B-D781-480E-9CA4-DEB226C66C08}" id="{A757319E-B726-403C-BEBF-CBEDFE47CDFC}">
    <text>what did you decide about how far out to look?  What feels defensible from a safety standpoint?  Since there are no parallel routes, that could be a reason to look at least 1/4 mile catchment area if not 1/2 mile buffer.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dot.ca.gov/programs/transportation-planning/economics-data-management/transportation-economics/vehicle-operation-cost-parameters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66E5-5621-4D21-8110-2D6C7C4665C5}">
  <sheetPr>
    <tabColor theme="3" tint="0.39997558519241921"/>
    <pageSetUpPr fitToPage="1"/>
  </sheetPr>
  <dimension ref="A1:R93"/>
  <sheetViews>
    <sheetView zoomScale="90" zoomScaleNormal="90" workbookViewId="0">
      <selection activeCell="S1" sqref="S1:Y1048576"/>
    </sheetView>
  </sheetViews>
  <sheetFormatPr defaultRowHeight="15" x14ac:dyDescent="0.25"/>
  <cols>
    <col min="1" max="1" width="25.28515625" bestFit="1" customWidth="1"/>
    <col min="2" max="2" width="16.140625" style="53" bestFit="1" customWidth="1"/>
    <col min="3" max="3" width="15.28515625" bestFit="1" customWidth="1"/>
    <col min="4" max="4" width="27.28515625" bestFit="1" customWidth="1"/>
    <col min="5" max="5" width="17.7109375" style="220" bestFit="1" customWidth="1"/>
    <col min="6" max="6" width="20.7109375" style="220" bestFit="1" customWidth="1"/>
    <col min="7" max="7" width="14.5703125" style="220" bestFit="1" customWidth="1"/>
    <col min="8" max="8" width="20.28515625" style="220" bestFit="1" customWidth="1"/>
    <col min="9" max="9" width="18.7109375" style="220" bestFit="1" customWidth="1"/>
    <col min="10" max="10" width="15.85546875" style="220" bestFit="1" customWidth="1"/>
    <col min="11" max="11" width="15.42578125" bestFit="1" customWidth="1"/>
    <col min="12" max="12" width="16.7109375" bestFit="1" customWidth="1"/>
    <col min="13" max="13" width="18.7109375" bestFit="1" customWidth="1"/>
    <col min="14" max="15" width="13.7109375" style="53" customWidth="1"/>
    <col min="16" max="16" width="12" bestFit="1" customWidth="1"/>
    <col min="17" max="18" width="18.7109375" bestFit="1" customWidth="1"/>
  </cols>
  <sheetData>
    <row r="1" spans="1:18" s="53" customFormat="1" ht="18.75" x14ac:dyDescent="0.3">
      <c r="A1" s="321" t="s">
        <v>131</v>
      </c>
      <c r="B1" s="322"/>
      <c r="C1" s="322"/>
      <c r="D1" s="322"/>
      <c r="E1" s="219"/>
      <c r="F1" s="219"/>
      <c r="G1" s="219"/>
      <c r="H1" s="219"/>
      <c r="I1" s="219"/>
      <c r="J1" s="219"/>
      <c r="K1" s="59"/>
      <c r="L1" s="59"/>
      <c r="M1" s="59"/>
      <c r="N1" s="59"/>
      <c r="O1" s="59"/>
      <c r="P1" s="59"/>
      <c r="Q1" s="59"/>
      <c r="R1" s="59"/>
    </row>
    <row r="2" spans="1:18" s="53" customFormat="1" ht="18.75" x14ac:dyDescent="0.3">
      <c r="A2" s="321" t="s">
        <v>277</v>
      </c>
      <c r="B2" s="322"/>
      <c r="C2" s="322"/>
      <c r="D2" s="322"/>
      <c r="E2" s="219"/>
      <c r="F2" s="219"/>
      <c r="G2" s="219"/>
      <c r="H2" s="219"/>
      <c r="I2" s="219"/>
      <c r="J2" s="219"/>
      <c r="K2" s="59"/>
      <c r="L2" s="59"/>
      <c r="M2" s="59"/>
      <c r="N2" s="59"/>
      <c r="O2" s="59"/>
      <c r="P2" s="59"/>
      <c r="Q2" s="59"/>
      <c r="R2" s="59"/>
    </row>
    <row r="3" spans="1:18" ht="18.75" x14ac:dyDescent="0.3">
      <c r="A3" s="321" t="s">
        <v>94</v>
      </c>
      <c r="B3" s="322"/>
      <c r="C3" s="322"/>
      <c r="D3" s="322"/>
      <c r="E3" s="219"/>
      <c r="F3" s="219"/>
      <c r="G3" s="219"/>
      <c r="H3" s="219"/>
      <c r="I3" s="219"/>
      <c r="J3" s="219"/>
      <c r="K3" s="59"/>
      <c r="L3" s="59"/>
      <c r="M3" s="59"/>
      <c r="N3" s="59"/>
      <c r="O3" s="59"/>
      <c r="P3" s="59"/>
      <c r="Q3" s="59"/>
      <c r="R3" s="59"/>
    </row>
    <row r="4" spans="1:18" ht="15.75" thickBot="1" x14ac:dyDescent="0.3"/>
    <row r="5" spans="1:18" x14ac:dyDescent="0.25">
      <c r="A5" s="325" t="s">
        <v>0</v>
      </c>
      <c r="B5" s="323" t="s">
        <v>101</v>
      </c>
      <c r="C5" s="324"/>
      <c r="D5" s="53"/>
      <c r="K5" s="53"/>
      <c r="L5" s="53"/>
      <c r="M5" s="53"/>
      <c r="P5" s="53"/>
      <c r="Q5" s="53"/>
      <c r="R5" s="53"/>
    </row>
    <row r="6" spans="1:18" ht="15.75" thickBot="1" x14ac:dyDescent="0.3">
      <c r="A6" s="326"/>
      <c r="B6" s="140" t="s">
        <v>130</v>
      </c>
      <c r="C6" s="18" t="s">
        <v>3</v>
      </c>
      <c r="D6" s="53"/>
      <c r="E6" s="329"/>
      <c r="F6" s="329"/>
      <c r="K6" s="53"/>
      <c r="L6" s="53"/>
      <c r="M6" s="53"/>
      <c r="P6" s="53"/>
      <c r="Q6" s="53"/>
      <c r="R6" s="53"/>
    </row>
    <row r="7" spans="1:18" x14ac:dyDescent="0.25">
      <c r="A7" s="201" t="s">
        <v>5</v>
      </c>
      <c r="B7" s="198">
        <f>TravelTimeSavings!G42</f>
        <v>76969501.825371444</v>
      </c>
      <c r="C7" s="197">
        <f>TravelTimeSavings!H42</f>
        <v>22092361.438265737</v>
      </c>
      <c r="E7" s="221"/>
      <c r="F7" s="221"/>
    </row>
    <row r="8" spans="1:18" x14ac:dyDescent="0.25">
      <c r="A8" s="202" t="s">
        <v>6</v>
      </c>
      <c r="B8" s="199">
        <f>'Prevented Accident Savings'!N43</f>
        <v>80590005.976675972</v>
      </c>
      <c r="C8" s="195">
        <f>'Prevented Accident Savings'!O43</f>
        <v>34714212.548885569</v>
      </c>
      <c r="E8" s="221"/>
      <c r="F8" s="221"/>
    </row>
    <row r="9" spans="1:18" x14ac:dyDescent="0.25">
      <c r="A9" s="203" t="s">
        <v>8</v>
      </c>
      <c r="B9" s="199"/>
      <c r="C9" s="195"/>
      <c r="E9" s="221"/>
      <c r="F9" s="221"/>
    </row>
    <row r="10" spans="1:18" s="53" customFormat="1" x14ac:dyDescent="0.25">
      <c r="A10" s="203" t="s">
        <v>261</v>
      </c>
      <c r="B10" s="199">
        <f>QualityOfLife!J42</f>
        <v>616204918.45600021</v>
      </c>
      <c r="C10" s="195">
        <f>QualityOfLife!K42</f>
        <v>180452169.22542879</v>
      </c>
      <c r="E10" s="221"/>
      <c r="F10" s="221"/>
      <c r="G10" s="220"/>
      <c r="H10" s="220"/>
      <c r="I10" s="220"/>
      <c r="J10" s="220"/>
    </row>
    <row r="11" spans="1:18" x14ac:dyDescent="0.25">
      <c r="A11" s="204" t="s">
        <v>103</v>
      </c>
      <c r="B11" s="199">
        <f>'Project Cost'!D56</f>
        <v>24024504</v>
      </c>
      <c r="C11" s="195">
        <f>'Project Cost'!D57</f>
        <v>3156029.8315489115</v>
      </c>
      <c r="E11" s="221"/>
      <c r="F11" s="221"/>
    </row>
    <row r="12" spans="1:18" x14ac:dyDescent="0.25">
      <c r="A12" s="208" t="s">
        <v>4</v>
      </c>
      <c r="B12" s="209">
        <f>SUM(B7:B11)</f>
        <v>797788930.25804758</v>
      </c>
      <c r="C12" s="210">
        <f>SUM(C7:C11)</f>
        <v>240414773.04412898</v>
      </c>
      <c r="E12" s="224"/>
      <c r="F12" s="224"/>
    </row>
    <row r="13" spans="1:18" x14ac:dyDescent="0.25">
      <c r="A13" s="204" t="s">
        <v>9</v>
      </c>
      <c r="B13" s="200">
        <f>-'Project Cost'!H48-'O&amp;M Costs'!D42</f>
        <v>-66168079.621606231</v>
      </c>
      <c r="C13" s="196">
        <f>-'Project Cost'!I48-'O&amp;M Costs'!E42</f>
        <v>-52153305.439411178</v>
      </c>
      <c r="E13" s="222"/>
      <c r="F13" s="223"/>
    </row>
    <row r="14" spans="1:18" ht="15.75" thickBot="1" x14ac:dyDescent="0.3">
      <c r="A14" s="205" t="s">
        <v>129</v>
      </c>
      <c r="B14" s="206">
        <f>B12+B13</f>
        <v>731620850.63644135</v>
      </c>
      <c r="C14" s="207">
        <f>C12+C13</f>
        <v>188261467.60471779</v>
      </c>
      <c r="E14" s="222"/>
      <c r="F14" s="222"/>
    </row>
    <row r="15" spans="1:18" ht="15.75" thickBot="1" x14ac:dyDescent="0.3">
      <c r="A15" s="211" t="s">
        <v>10</v>
      </c>
      <c r="B15" s="212">
        <f>ABS(B12/B13)</f>
        <v>12.057005958467338</v>
      </c>
      <c r="C15" s="213">
        <f>ABS(C12/C13)</f>
        <v>4.6097705796122463</v>
      </c>
      <c r="E15" s="225"/>
      <c r="F15" s="225"/>
    </row>
    <row r="18" spans="4:7" x14ac:dyDescent="0.25">
      <c r="D18" s="53"/>
      <c r="E18" s="327"/>
      <c r="F18" s="328"/>
      <c r="G18" s="328"/>
    </row>
    <row r="19" spans="4:7" x14ac:dyDescent="0.25">
      <c r="D19" s="22"/>
      <c r="E19" s="327"/>
      <c r="F19" s="226"/>
      <c r="G19" s="227"/>
    </row>
    <row r="20" spans="4:7" x14ac:dyDescent="0.25">
      <c r="D20" s="22"/>
      <c r="E20" s="228"/>
      <c r="F20" s="221"/>
      <c r="G20" s="221"/>
    </row>
    <row r="21" spans="4:7" x14ac:dyDescent="0.25">
      <c r="E21" s="228"/>
      <c r="F21" s="221"/>
      <c r="G21" s="221"/>
    </row>
    <row r="22" spans="4:7" x14ac:dyDescent="0.25">
      <c r="E22" s="229"/>
      <c r="F22" s="221"/>
      <c r="G22" s="221"/>
    </row>
    <row r="23" spans="4:7" x14ac:dyDescent="0.25">
      <c r="F23" s="221"/>
      <c r="G23" s="221"/>
    </row>
    <row r="24" spans="4:7" x14ac:dyDescent="0.25">
      <c r="F24" s="222"/>
      <c r="G24" s="223"/>
    </row>
    <row r="25" spans="4:7" x14ac:dyDescent="0.25">
      <c r="E25" s="227"/>
      <c r="F25" s="224"/>
      <c r="G25" s="224"/>
    </row>
    <row r="26" spans="4:7" x14ac:dyDescent="0.25">
      <c r="F26" s="222"/>
      <c r="G26" s="223"/>
    </row>
    <row r="27" spans="4:7" x14ac:dyDescent="0.25">
      <c r="F27" s="222"/>
      <c r="G27" s="222"/>
    </row>
    <row r="28" spans="4:7" x14ac:dyDescent="0.25">
      <c r="E28" s="227"/>
      <c r="F28" s="225"/>
      <c r="G28" s="225"/>
    </row>
    <row r="31" spans="4:7" x14ac:dyDescent="0.25">
      <c r="E31" s="327"/>
      <c r="F31" s="328"/>
      <c r="G31" s="328"/>
    </row>
    <row r="32" spans="4:7" x14ac:dyDescent="0.25">
      <c r="E32" s="327"/>
      <c r="F32" s="226"/>
      <c r="G32" s="227"/>
    </row>
    <row r="33" spans="5:7" x14ac:dyDescent="0.25">
      <c r="E33" s="228"/>
      <c r="F33" s="221"/>
      <c r="G33" s="221"/>
    </row>
    <row r="34" spans="5:7" x14ac:dyDescent="0.25">
      <c r="E34" s="228"/>
      <c r="F34" s="221"/>
      <c r="G34" s="221"/>
    </row>
    <row r="35" spans="5:7" x14ac:dyDescent="0.25">
      <c r="E35" s="229"/>
      <c r="F35" s="221"/>
      <c r="G35" s="221"/>
    </row>
    <row r="36" spans="5:7" x14ac:dyDescent="0.25">
      <c r="F36" s="221"/>
      <c r="G36" s="221"/>
    </row>
    <row r="37" spans="5:7" x14ac:dyDescent="0.25">
      <c r="F37" s="222"/>
      <c r="G37" s="223"/>
    </row>
    <row r="38" spans="5:7" x14ac:dyDescent="0.25">
      <c r="E38" s="227"/>
      <c r="F38" s="224"/>
      <c r="G38" s="224"/>
    </row>
    <row r="39" spans="5:7" x14ac:dyDescent="0.25">
      <c r="F39" s="222"/>
      <c r="G39" s="223"/>
    </row>
    <row r="40" spans="5:7" x14ac:dyDescent="0.25">
      <c r="F40" s="222"/>
      <c r="G40" s="222"/>
    </row>
    <row r="41" spans="5:7" x14ac:dyDescent="0.25">
      <c r="E41" s="227"/>
      <c r="F41" s="225"/>
      <c r="G41" s="225"/>
    </row>
    <row r="44" spans="5:7" x14ac:dyDescent="0.25">
      <c r="E44" s="327"/>
      <c r="F44" s="328"/>
      <c r="G44" s="328"/>
    </row>
    <row r="45" spans="5:7" x14ac:dyDescent="0.25">
      <c r="E45" s="327"/>
      <c r="F45" s="226"/>
      <c r="G45" s="227"/>
    </row>
    <row r="46" spans="5:7" x14ac:dyDescent="0.25">
      <c r="E46" s="228"/>
      <c r="F46" s="221"/>
      <c r="G46" s="221"/>
    </row>
    <row r="47" spans="5:7" x14ac:dyDescent="0.25">
      <c r="E47" s="228"/>
      <c r="F47" s="221"/>
      <c r="G47" s="221"/>
    </row>
    <row r="48" spans="5:7" x14ac:dyDescent="0.25">
      <c r="E48" s="229"/>
      <c r="F48" s="221"/>
      <c r="G48" s="221"/>
    </row>
    <row r="49" spans="5:7" x14ac:dyDescent="0.25">
      <c r="F49" s="221"/>
      <c r="G49" s="221"/>
    </row>
    <row r="50" spans="5:7" x14ac:dyDescent="0.25">
      <c r="F50" s="222"/>
      <c r="G50" s="223"/>
    </row>
    <row r="51" spans="5:7" x14ac:dyDescent="0.25">
      <c r="E51" s="227"/>
      <c r="F51" s="224"/>
      <c r="G51" s="224"/>
    </row>
    <row r="52" spans="5:7" x14ac:dyDescent="0.25">
      <c r="F52" s="222"/>
      <c r="G52" s="223"/>
    </row>
    <row r="53" spans="5:7" x14ac:dyDescent="0.25">
      <c r="F53" s="222"/>
      <c r="G53" s="222"/>
    </row>
    <row r="54" spans="5:7" x14ac:dyDescent="0.25">
      <c r="E54" s="227"/>
      <c r="F54" s="225"/>
      <c r="G54" s="225"/>
    </row>
    <row r="57" spans="5:7" x14ac:dyDescent="0.25">
      <c r="E57" s="327"/>
      <c r="F57" s="328"/>
      <c r="G57" s="328"/>
    </row>
    <row r="58" spans="5:7" x14ac:dyDescent="0.25">
      <c r="E58" s="327"/>
      <c r="F58" s="226"/>
      <c r="G58" s="227"/>
    </row>
    <row r="59" spans="5:7" x14ac:dyDescent="0.25">
      <c r="E59" s="228"/>
      <c r="F59" s="221"/>
      <c r="G59" s="221"/>
    </row>
    <row r="60" spans="5:7" x14ac:dyDescent="0.25">
      <c r="E60" s="228"/>
      <c r="F60" s="221"/>
      <c r="G60" s="221"/>
    </row>
    <row r="61" spans="5:7" x14ac:dyDescent="0.25">
      <c r="E61" s="229"/>
      <c r="F61" s="221"/>
      <c r="G61" s="221"/>
    </row>
    <row r="62" spans="5:7" x14ac:dyDescent="0.25">
      <c r="F62" s="221"/>
      <c r="G62" s="221"/>
    </row>
    <row r="63" spans="5:7" x14ac:dyDescent="0.25">
      <c r="F63" s="222"/>
      <c r="G63" s="223"/>
    </row>
    <row r="64" spans="5:7" x14ac:dyDescent="0.25">
      <c r="E64" s="227"/>
      <c r="F64" s="224"/>
      <c r="G64" s="224"/>
    </row>
    <row r="65" spans="5:7" x14ac:dyDescent="0.25">
      <c r="F65" s="222"/>
      <c r="G65" s="223"/>
    </row>
    <row r="66" spans="5:7" x14ac:dyDescent="0.25">
      <c r="F66" s="222"/>
      <c r="G66" s="222"/>
    </row>
    <row r="67" spans="5:7" x14ac:dyDescent="0.25">
      <c r="E67" s="227"/>
      <c r="F67" s="225"/>
      <c r="G67" s="225"/>
    </row>
    <row r="70" spans="5:7" x14ac:dyDescent="0.25">
      <c r="E70" s="327"/>
      <c r="F70" s="328"/>
      <c r="G70" s="328"/>
    </row>
    <row r="71" spans="5:7" x14ac:dyDescent="0.25">
      <c r="E71" s="327"/>
      <c r="F71" s="226"/>
      <c r="G71" s="227"/>
    </row>
    <row r="72" spans="5:7" x14ac:dyDescent="0.25">
      <c r="E72" s="228"/>
      <c r="F72" s="221"/>
      <c r="G72" s="221"/>
    </row>
    <row r="73" spans="5:7" x14ac:dyDescent="0.25">
      <c r="E73" s="228"/>
      <c r="F73" s="221"/>
      <c r="G73" s="221"/>
    </row>
    <row r="74" spans="5:7" x14ac:dyDescent="0.25">
      <c r="E74" s="229"/>
      <c r="F74" s="221"/>
      <c r="G74" s="221"/>
    </row>
    <row r="75" spans="5:7" x14ac:dyDescent="0.25">
      <c r="F75" s="221"/>
      <c r="G75" s="221"/>
    </row>
    <row r="76" spans="5:7" x14ac:dyDescent="0.25">
      <c r="F76" s="222"/>
      <c r="G76" s="223"/>
    </row>
    <row r="77" spans="5:7" x14ac:dyDescent="0.25">
      <c r="E77" s="227"/>
      <c r="F77" s="224"/>
      <c r="G77" s="224"/>
    </row>
    <row r="78" spans="5:7" x14ac:dyDescent="0.25">
      <c r="F78" s="222"/>
      <c r="G78" s="223"/>
    </row>
    <row r="79" spans="5:7" x14ac:dyDescent="0.25">
      <c r="F79" s="222"/>
      <c r="G79" s="222"/>
    </row>
    <row r="80" spans="5:7" x14ac:dyDescent="0.25">
      <c r="E80" s="227"/>
      <c r="F80" s="225"/>
      <c r="G80" s="225"/>
    </row>
    <row r="83" spans="5:7" x14ac:dyDescent="0.25">
      <c r="E83" s="327"/>
      <c r="F83" s="328"/>
      <c r="G83" s="328"/>
    </row>
    <row r="84" spans="5:7" x14ac:dyDescent="0.25">
      <c r="E84" s="327"/>
      <c r="F84" s="226"/>
      <c r="G84" s="227"/>
    </row>
    <row r="85" spans="5:7" x14ac:dyDescent="0.25">
      <c r="E85" s="228"/>
      <c r="F85" s="221"/>
      <c r="G85" s="221"/>
    </row>
    <row r="86" spans="5:7" x14ac:dyDescent="0.25">
      <c r="E86" s="228"/>
      <c r="F86" s="221"/>
      <c r="G86" s="221"/>
    </row>
    <row r="87" spans="5:7" x14ac:dyDescent="0.25">
      <c r="E87" s="229"/>
      <c r="F87" s="221"/>
      <c r="G87" s="221"/>
    </row>
    <row r="88" spans="5:7" x14ac:dyDescent="0.25">
      <c r="F88" s="221"/>
      <c r="G88" s="221"/>
    </row>
    <row r="89" spans="5:7" x14ac:dyDescent="0.25">
      <c r="F89" s="222"/>
      <c r="G89" s="223"/>
    </row>
    <row r="90" spans="5:7" x14ac:dyDescent="0.25">
      <c r="E90" s="227"/>
      <c r="F90" s="224"/>
      <c r="G90" s="224"/>
    </row>
    <row r="91" spans="5:7" x14ac:dyDescent="0.25">
      <c r="F91" s="222"/>
      <c r="G91" s="223"/>
    </row>
    <row r="92" spans="5:7" x14ac:dyDescent="0.25">
      <c r="F92" s="222"/>
      <c r="G92" s="222"/>
    </row>
    <row r="93" spans="5:7" x14ac:dyDescent="0.25">
      <c r="E93" s="227"/>
      <c r="F93" s="225"/>
      <c r="G93" s="225"/>
    </row>
  </sheetData>
  <mergeCells count="18">
    <mergeCell ref="E83:E84"/>
    <mergeCell ref="F83:G83"/>
    <mergeCell ref="E70:E71"/>
    <mergeCell ref="F70:G70"/>
    <mergeCell ref="A2:D2"/>
    <mergeCell ref="A3:D3"/>
    <mergeCell ref="E57:E58"/>
    <mergeCell ref="F57:G57"/>
    <mergeCell ref="A1:D1"/>
    <mergeCell ref="B5:C5"/>
    <mergeCell ref="A5:A6"/>
    <mergeCell ref="E44:E45"/>
    <mergeCell ref="F44:G44"/>
    <mergeCell ref="E6:F6"/>
    <mergeCell ref="E18:E19"/>
    <mergeCell ref="F18:G18"/>
    <mergeCell ref="E31:E32"/>
    <mergeCell ref="F31:G31"/>
  </mergeCells>
  <pageMargins left="0.7" right="0.7" top="0.75" bottom="0.75" header="0.3" footer="0.3"/>
  <pageSetup orientation="landscape" horizontalDpi="300" verticalDpi="300" r:id="rId1"/>
  <headerFooter>
    <oddHeader>&amp;LBCA Analysis&amp;CIron Horse - Ped and Bike Improvements</oddHeader>
    <oddFooter>&amp;RPage 1 of 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9147-89EB-429A-9497-E1643DC59DF8}">
  <dimension ref="B2:AB34"/>
  <sheetViews>
    <sheetView topLeftCell="H1" workbookViewId="0">
      <selection activeCell="E28" activeCellId="3" sqref="E13 E16:E18 E21:E25 E28:E29"/>
    </sheetView>
  </sheetViews>
  <sheetFormatPr defaultColWidth="8.7109375" defaultRowHeight="14.25" x14ac:dyDescent="0.25"/>
  <cols>
    <col min="1" max="9" width="8.7109375" style="287"/>
    <col min="10" max="10" width="50" style="287" customWidth="1"/>
    <col min="11" max="16384" width="8.7109375" style="287"/>
  </cols>
  <sheetData>
    <row r="2" spans="2:28" x14ac:dyDescent="0.25">
      <c r="B2" s="287" t="s">
        <v>221</v>
      </c>
    </row>
    <row r="3" spans="2:28" x14ac:dyDescent="0.25">
      <c r="B3" s="303" t="s">
        <v>222</v>
      </c>
      <c r="C3" s="303" t="s">
        <v>223</v>
      </c>
      <c r="D3" s="303" t="s">
        <v>224</v>
      </c>
      <c r="E3" s="303" t="s">
        <v>225</v>
      </c>
      <c r="F3" s="308" t="s">
        <v>17</v>
      </c>
      <c r="G3" s="308" t="s">
        <v>226</v>
      </c>
      <c r="J3" s="303" t="s">
        <v>227</v>
      </c>
      <c r="K3" s="303" t="s">
        <v>228</v>
      </c>
      <c r="L3" s="303" t="s">
        <v>229</v>
      </c>
      <c r="M3" s="303" t="s">
        <v>17</v>
      </c>
      <c r="P3" s="287" t="s">
        <v>230</v>
      </c>
    </row>
    <row r="4" spans="2:28" x14ac:dyDescent="0.25">
      <c r="B4" s="309">
        <v>43713</v>
      </c>
      <c r="C4" s="303">
        <v>91</v>
      </c>
      <c r="D4" s="303">
        <v>41</v>
      </c>
      <c r="E4" s="303">
        <v>5</v>
      </c>
      <c r="F4" s="308">
        <f>SUM(C4:E4)</f>
        <v>137</v>
      </c>
      <c r="G4" s="308">
        <f>F4/2/0.1</f>
        <v>685</v>
      </c>
      <c r="H4" s="287" t="s">
        <v>231</v>
      </c>
      <c r="J4" s="303" t="s">
        <v>230</v>
      </c>
      <c r="K4" s="304">
        <f>180/0.18</f>
        <v>1000</v>
      </c>
      <c r="L4" s="304">
        <f>139/0.18</f>
        <v>772.22222222222229</v>
      </c>
      <c r="M4" s="304">
        <f>K4+L4</f>
        <v>1772.2222222222222</v>
      </c>
      <c r="Q4" s="287" t="s">
        <v>232</v>
      </c>
      <c r="R4" s="287" t="s">
        <v>233</v>
      </c>
      <c r="S4" s="287" t="s">
        <v>234</v>
      </c>
      <c r="T4" s="287" t="s">
        <v>235</v>
      </c>
      <c r="U4" s="287" t="s">
        <v>236</v>
      </c>
      <c r="V4" s="287" t="s">
        <v>237</v>
      </c>
      <c r="W4" s="287" t="s">
        <v>238</v>
      </c>
      <c r="X4" s="287" t="s">
        <v>239</v>
      </c>
      <c r="Y4" s="287" t="s">
        <v>240</v>
      </c>
      <c r="Z4" s="287" t="s">
        <v>241</v>
      </c>
      <c r="AA4" s="287" t="s">
        <v>242</v>
      </c>
      <c r="AB4" s="287" t="s">
        <v>243</v>
      </c>
    </row>
    <row r="5" spans="2:28" x14ac:dyDescent="0.25">
      <c r="B5" s="309">
        <v>43711</v>
      </c>
      <c r="C5" s="303">
        <v>95</v>
      </c>
      <c r="D5" s="303">
        <v>56</v>
      </c>
      <c r="E5" s="303">
        <v>7</v>
      </c>
      <c r="F5" s="308">
        <f>SUM(C5:E5)</f>
        <v>158</v>
      </c>
      <c r="G5" s="308">
        <f>F5/2/0.1</f>
        <v>790</v>
      </c>
      <c r="H5" s="287" t="s">
        <v>244</v>
      </c>
      <c r="J5" s="303" t="s">
        <v>245</v>
      </c>
      <c r="K5" s="304">
        <f>(400+241)/0.18</f>
        <v>3561.1111111111113</v>
      </c>
      <c r="L5" s="304">
        <f>(211+418)/0.18</f>
        <v>3494.4444444444448</v>
      </c>
      <c r="M5" s="304">
        <f>K5+L5</f>
        <v>7055.5555555555566</v>
      </c>
      <c r="P5" s="286" t="s">
        <v>246</v>
      </c>
    </row>
    <row r="6" spans="2:28" x14ac:dyDescent="0.25">
      <c r="B6" s="308" t="s">
        <v>112</v>
      </c>
      <c r="C6" s="308"/>
      <c r="D6" s="308"/>
      <c r="E6" s="308"/>
      <c r="F6" s="308"/>
      <c r="G6" s="310">
        <f>(G4+G5)/2</f>
        <v>737.5</v>
      </c>
      <c r="J6" s="303" t="s">
        <v>247</v>
      </c>
      <c r="K6" s="304"/>
      <c r="L6" s="304"/>
      <c r="M6" s="304">
        <f>SUM(M4:M5)</f>
        <v>8827.7777777777792</v>
      </c>
      <c r="P6" s="287" t="s">
        <v>22</v>
      </c>
      <c r="Q6" s="287">
        <v>698</v>
      </c>
      <c r="R6" s="287">
        <v>1031</v>
      </c>
      <c r="S6" s="287">
        <v>507</v>
      </c>
      <c r="T6" s="287">
        <v>374</v>
      </c>
      <c r="U6" s="287">
        <v>2508</v>
      </c>
      <c r="V6" s="287">
        <v>551</v>
      </c>
      <c r="W6" s="287">
        <v>33</v>
      </c>
      <c r="X6" s="287">
        <v>67</v>
      </c>
      <c r="Y6" s="287">
        <v>14</v>
      </c>
      <c r="Z6" s="287">
        <v>193</v>
      </c>
      <c r="AA6" s="287">
        <v>99</v>
      </c>
      <c r="AB6" s="287">
        <v>232</v>
      </c>
    </row>
    <row r="7" spans="2:28" x14ac:dyDescent="0.25">
      <c r="B7" s="287" t="s">
        <v>248</v>
      </c>
      <c r="J7" s="286" t="s">
        <v>249</v>
      </c>
      <c r="K7" s="311"/>
      <c r="L7" s="311"/>
      <c r="M7" s="311">
        <f>0.075*M6*1.5</f>
        <v>993.125</v>
      </c>
      <c r="P7" s="287" t="s">
        <v>23</v>
      </c>
      <c r="Q7" s="287">
        <v>342</v>
      </c>
      <c r="R7" s="287">
        <v>1706</v>
      </c>
      <c r="S7" s="287">
        <v>55</v>
      </c>
      <c r="T7" s="287">
        <v>81</v>
      </c>
      <c r="U7" s="287">
        <v>1068</v>
      </c>
      <c r="V7" s="287">
        <v>197</v>
      </c>
      <c r="W7" s="287">
        <v>424</v>
      </c>
      <c r="X7" s="287">
        <v>113</v>
      </c>
      <c r="Y7" s="287">
        <v>7</v>
      </c>
      <c r="Z7" s="287">
        <v>476</v>
      </c>
      <c r="AA7" s="287">
        <v>40</v>
      </c>
      <c r="AB7" s="287">
        <v>759</v>
      </c>
    </row>
    <row r="9" spans="2:28" x14ac:dyDescent="0.25">
      <c r="J9" s="287" t="s">
        <v>250</v>
      </c>
      <c r="P9" s="286" t="s">
        <v>251</v>
      </c>
    </row>
    <row r="10" spans="2:28" x14ac:dyDescent="0.25">
      <c r="P10" s="287" t="s">
        <v>22</v>
      </c>
      <c r="Q10" s="287">
        <v>29</v>
      </c>
      <c r="R10" s="287">
        <v>78</v>
      </c>
      <c r="S10" s="287">
        <v>78</v>
      </c>
      <c r="T10" s="287">
        <v>24</v>
      </c>
      <c r="U10" s="287">
        <v>73</v>
      </c>
      <c r="V10" s="287">
        <v>72</v>
      </c>
      <c r="W10" s="287">
        <v>7</v>
      </c>
      <c r="X10" s="287">
        <v>11</v>
      </c>
      <c r="Y10" s="287">
        <v>11</v>
      </c>
      <c r="Z10" s="287">
        <v>19</v>
      </c>
      <c r="AA10" s="287">
        <v>24</v>
      </c>
      <c r="AB10" s="287">
        <v>52</v>
      </c>
    </row>
    <row r="11" spans="2:28" x14ac:dyDescent="0.25">
      <c r="P11" s="287" t="s">
        <v>23</v>
      </c>
      <c r="Q11" s="287">
        <v>20</v>
      </c>
      <c r="R11" s="287">
        <v>57</v>
      </c>
      <c r="S11" s="287">
        <v>57</v>
      </c>
      <c r="T11" s="287">
        <v>10</v>
      </c>
      <c r="U11" s="287">
        <v>47</v>
      </c>
      <c r="V11" s="287">
        <v>46</v>
      </c>
      <c r="W11" s="287">
        <v>44</v>
      </c>
      <c r="X11" s="287">
        <v>18</v>
      </c>
      <c r="Y11" s="287">
        <v>18</v>
      </c>
      <c r="Z11" s="287">
        <v>51</v>
      </c>
      <c r="AA11" s="287">
        <v>24</v>
      </c>
      <c r="AB11" s="287">
        <v>44</v>
      </c>
    </row>
    <row r="15" spans="2:28" x14ac:dyDescent="0.25">
      <c r="P15" s="287" t="s">
        <v>252</v>
      </c>
      <c r="S15" s="287">
        <f>R6+T6+U6+V6+Y6+Z6</f>
        <v>4671</v>
      </c>
      <c r="T15" s="287" t="s">
        <v>22</v>
      </c>
    </row>
    <row r="16" spans="2:28" x14ac:dyDescent="0.25">
      <c r="S16" s="287">
        <f>R7+T7+U7+V7+Y7+Z7</f>
        <v>3535</v>
      </c>
      <c r="T16" s="287" t="s">
        <v>23</v>
      </c>
    </row>
    <row r="17" spans="16:20" x14ac:dyDescent="0.25">
      <c r="S17" s="286">
        <f>S15+S16</f>
        <v>8206</v>
      </c>
    </row>
    <row r="19" spans="16:20" x14ac:dyDescent="0.25">
      <c r="P19" s="287" t="s">
        <v>253</v>
      </c>
      <c r="S19" s="312">
        <f>S17/0.18</f>
        <v>45588.888888888891</v>
      </c>
    </row>
    <row r="21" spans="16:20" x14ac:dyDescent="0.25">
      <c r="P21" s="287" t="s">
        <v>254</v>
      </c>
      <c r="S21" s="287">
        <v>120</v>
      </c>
    </row>
    <row r="22" spans="16:20" x14ac:dyDescent="0.25">
      <c r="P22" s="287" t="s">
        <v>255</v>
      </c>
      <c r="S22" s="287">
        <v>3.5</v>
      </c>
    </row>
    <row r="23" spans="16:20" x14ac:dyDescent="0.25">
      <c r="P23" s="287" t="s">
        <v>256</v>
      </c>
      <c r="S23" s="287">
        <f>S21/S22</f>
        <v>34.285714285714285</v>
      </c>
    </row>
    <row r="24" spans="16:20" x14ac:dyDescent="0.25">
      <c r="P24" s="287" t="s">
        <v>257</v>
      </c>
      <c r="S24" s="287">
        <v>6</v>
      </c>
    </row>
    <row r="25" spans="16:20" x14ac:dyDescent="0.25">
      <c r="P25" s="287" t="s">
        <v>258</v>
      </c>
      <c r="S25" s="287">
        <f>S23+S24</f>
        <v>40.285714285714285</v>
      </c>
      <c r="T25" s="287">
        <f>S25/3600</f>
        <v>1.119047619047619E-2</v>
      </c>
    </row>
    <row r="27" spans="16:20" x14ac:dyDescent="0.25">
      <c r="P27" s="287" t="s">
        <v>259</v>
      </c>
      <c r="S27" s="287">
        <v>0.33</v>
      </c>
    </row>
    <row r="28" spans="16:20" x14ac:dyDescent="0.25">
      <c r="P28" s="287" t="s">
        <v>260</v>
      </c>
      <c r="S28" s="287">
        <f>S19*S27*1.5</f>
        <v>22566.5</v>
      </c>
    </row>
    <row r="34" spans="19:19" x14ac:dyDescent="0.25">
      <c r="S34" s="287">
        <f>37.5/3600</f>
        <v>1.0416666666666666E-2</v>
      </c>
    </row>
  </sheetData>
  <pageMargins left="0.7" right="0.7" top="0.75" bottom="0.75" header="0.3" footer="0.3"/>
  <pageSetup orientation="portrait" verticalDpi="1200" r:id="rId1"/>
  <headerFooter>
    <oddHeader>&amp;CIron Horse - Ped and Bike Improvements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7DA3E-C9CA-4345-8D4A-2F39E4883C81}">
  <sheetPr>
    <tabColor theme="9" tint="0.59999389629810485"/>
    <pageSetUpPr fitToPage="1"/>
  </sheetPr>
  <dimension ref="A1:U48"/>
  <sheetViews>
    <sheetView zoomScale="80" zoomScaleNormal="80" workbookViewId="0">
      <selection activeCell="G40" sqref="G40"/>
    </sheetView>
  </sheetViews>
  <sheetFormatPr defaultRowHeight="15" x14ac:dyDescent="0.25"/>
  <cols>
    <col min="1" max="1" width="11.42578125" customWidth="1"/>
    <col min="2" max="2" width="13.5703125" bestFit="1" customWidth="1"/>
    <col min="3" max="3" width="13.7109375" bestFit="1" customWidth="1"/>
    <col min="4" max="4" width="22.7109375" bestFit="1" customWidth="1"/>
    <col min="6" max="6" width="25.85546875" style="53" customWidth="1"/>
    <col min="7" max="7" width="19.140625" style="53" customWidth="1"/>
    <col min="8" max="8" width="8.85546875" style="53"/>
    <col min="10" max="10" width="12.28515625" bestFit="1" customWidth="1"/>
    <col min="11" max="11" width="9.85546875" customWidth="1"/>
    <col min="12" max="12" width="10.28515625" customWidth="1"/>
    <col min="13" max="13" width="10.28515625" style="53" customWidth="1"/>
    <col min="16" max="16" width="8.85546875" style="53"/>
    <col min="17" max="17" width="12.7109375" style="53" bestFit="1" customWidth="1"/>
    <col min="19" max="19" width="10.5703125" bestFit="1" customWidth="1"/>
    <col min="20" max="20" width="14.140625" bestFit="1" customWidth="1"/>
  </cols>
  <sheetData>
    <row r="1" spans="1:17" x14ac:dyDescent="0.25">
      <c r="A1" s="21" t="s">
        <v>115</v>
      </c>
    </row>
    <row r="2" spans="1:17" ht="15.75" thickBot="1" x14ac:dyDescent="0.3">
      <c r="A2" s="53"/>
    </row>
    <row r="3" spans="1:17" ht="32.450000000000003" customHeight="1" x14ac:dyDescent="0.25">
      <c r="A3" s="237" t="s">
        <v>49</v>
      </c>
      <c r="B3" s="238"/>
      <c r="C3" s="238"/>
      <c r="D3" s="239"/>
      <c r="F3" s="377" t="s">
        <v>80</v>
      </c>
      <c r="G3" s="378"/>
      <c r="I3" s="369" t="s">
        <v>75</v>
      </c>
      <c r="J3" s="370"/>
      <c r="K3" s="370"/>
      <c r="L3" s="370"/>
      <c r="M3" s="371"/>
      <c r="N3" s="372"/>
    </row>
    <row r="4" spans="1:17" x14ac:dyDescent="0.25">
      <c r="A4" s="240" t="s">
        <v>50</v>
      </c>
      <c r="B4" s="241"/>
      <c r="C4" s="241"/>
      <c r="D4" s="242"/>
      <c r="F4" s="379" t="s">
        <v>78</v>
      </c>
      <c r="G4" s="380"/>
      <c r="I4" s="67" t="s">
        <v>50</v>
      </c>
      <c r="J4" s="66"/>
      <c r="K4" s="66"/>
      <c r="L4" s="66"/>
      <c r="M4" s="146"/>
      <c r="N4" s="68"/>
    </row>
    <row r="5" spans="1:17" ht="28.9" customHeight="1" x14ac:dyDescent="0.25">
      <c r="A5" s="243" t="s">
        <v>41</v>
      </c>
      <c r="B5" s="244" t="s">
        <v>33</v>
      </c>
      <c r="C5" s="244" t="s">
        <v>34</v>
      </c>
      <c r="D5" s="245" t="s">
        <v>51</v>
      </c>
      <c r="F5" s="69" t="s">
        <v>81</v>
      </c>
      <c r="G5" s="70" t="s">
        <v>82</v>
      </c>
      <c r="I5" s="61" t="s">
        <v>76</v>
      </c>
      <c r="J5" s="60" t="s">
        <v>47</v>
      </c>
      <c r="K5" s="60" t="s">
        <v>48</v>
      </c>
      <c r="L5" s="60" t="s">
        <v>28</v>
      </c>
      <c r="M5" s="147" t="s">
        <v>29</v>
      </c>
      <c r="N5" s="62" t="s">
        <v>30</v>
      </c>
    </row>
    <row r="6" spans="1:17" ht="30" x14ac:dyDescent="0.25">
      <c r="A6" s="246" t="s">
        <v>42</v>
      </c>
      <c r="B6" s="247" t="s">
        <v>35</v>
      </c>
      <c r="C6" s="247">
        <v>3.0000000000000001E-3</v>
      </c>
      <c r="D6" s="248">
        <v>32700</v>
      </c>
      <c r="F6" s="71" t="s">
        <v>83</v>
      </c>
      <c r="G6" s="251">
        <v>1.48</v>
      </c>
      <c r="I6" s="261">
        <v>2020</v>
      </c>
      <c r="J6" s="259">
        <v>15700</v>
      </c>
      <c r="K6" s="259">
        <v>40400</v>
      </c>
      <c r="L6" s="259">
        <v>729300</v>
      </c>
      <c r="M6" s="255">
        <f>(G34/G38)*151100*1.1015</f>
        <v>178087.21549999999</v>
      </c>
      <c r="N6" s="262">
        <v>50</v>
      </c>
      <c r="P6" s="37">
        <v>0.68899999999999995</v>
      </c>
      <c r="Q6" s="233">
        <f>P6*D6</f>
        <v>22530.3</v>
      </c>
    </row>
    <row r="7" spans="1:17" ht="30" x14ac:dyDescent="0.25">
      <c r="A7" s="246" t="s">
        <v>43</v>
      </c>
      <c r="B7" s="247" t="s">
        <v>36</v>
      </c>
      <c r="C7" s="247">
        <v>4.7E-2</v>
      </c>
      <c r="D7" s="248">
        <v>512300</v>
      </c>
      <c r="F7" s="71" t="s">
        <v>84</v>
      </c>
      <c r="G7" s="251">
        <v>1.58</v>
      </c>
      <c r="I7" s="266">
        <v>2021</v>
      </c>
      <c r="J7" s="267">
        <v>15600</v>
      </c>
      <c r="K7" s="267">
        <v>41500</v>
      </c>
      <c r="L7" s="267">
        <v>748600</v>
      </c>
      <c r="M7" s="256">
        <f>M6*(L7/L6)</f>
        <v>182800.06790525161</v>
      </c>
      <c r="N7" s="269">
        <v>52</v>
      </c>
      <c r="P7" s="37">
        <v>0.252</v>
      </c>
      <c r="Q7" s="233">
        <f t="shared" ref="Q7:Q11" si="0">P7*D7</f>
        <v>129099.6</v>
      </c>
    </row>
    <row r="8" spans="1:17" ht="30" x14ac:dyDescent="0.25">
      <c r="A8" s="246" t="s">
        <v>44</v>
      </c>
      <c r="B8" s="247" t="s">
        <v>37</v>
      </c>
      <c r="C8" s="247">
        <v>0.105</v>
      </c>
      <c r="D8" s="248">
        <v>1144500</v>
      </c>
      <c r="F8" s="71" t="s">
        <v>85</v>
      </c>
      <c r="G8" s="251">
        <v>2.02</v>
      </c>
      <c r="I8" s="266">
        <v>2022</v>
      </c>
      <c r="J8" s="267">
        <v>15800</v>
      </c>
      <c r="K8" s="267">
        <v>42300</v>
      </c>
      <c r="L8" s="267">
        <v>761600</v>
      </c>
      <c r="M8" s="256">
        <f t="shared" ref="M8:M35" si="1">M7*(L8/L7)</f>
        <v>185974.52807459206</v>
      </c>
      <c r="N8" s="269">
        <v>53</v>
      </c>
      <c r="P8" s="234">
        <f>4.4%/3</f>
        <v>1.4666666666666668E-2</v>
      </c>
      <c r="Q8" s="233">
        <f t="shared" si="0"/>
        <v>16786</v>
      </c>
    </row>
    <row r="9" spans="1:17" ht="32.450000000000003" customHeight="1" thickBot="1" x14ac:dyDescent="0.3">
      <c r="A9" s="246" t="s">
        <v>45</v>
      </c>
      <c r="B9" s="247" t="s">
        <v>38</v>
      </c>
      <c r="C9" s="247">
        <v>0.26600000000000001</v>
      </c>
      <c r="D9" s="248">
        <v>2899400</v>
      </c>
      <c r="F9" s="72" t="s">
        <v>86</v>
      </c>
      <c r="G9" s="254">
        <v>1.67</v>
      </c>
      <c r="I9" s="266">
        <v>2023</v>
      </c>
      <c r="J9" s="267">
        <v>16000</v>
      </c>
      <c r="K9" s="267">
        <v>43100</v>
      </c>
      <c r="L9" s="267">
        <v>774700</v>
      </c>
      <c r="M9" s="256">
        <f t="shared" si="1"/>
        <v>189173.40716831206</v>
      </c>
      <c r="N9" s="269">
        <v>54</v>
      </c>
      <c r="P9" s="234">
        <f>4.4%/3</f>
        <v>1.4666666666666668E-2</v>
      </c>
      <c r="Q9" s="233">
        <f t="shared" si="0"/>
        <v>42524.53333333334</v>
      </c>
    </row>
    <row r="10" spans="1:17" ht="15.75" thickBot="1" x14ac:dyDescent="0.3">
      <c r="A10" s="246" t="s">
        <v>46</v>
      </c>
      <c r="B10" s="247" t="s">
        <v>39</v>
      </c>
      <c r="C10" s="247">
        <v>0.59299999999999997</v>
      </c>
      <c r="D10" s="248">
        <v>6463700</v>
      </c>
      <c r="I10" s="266">
        <v>2024</v>
      </c>
      <c r="J10" s="267">
        <v>16200</v>
      </c>
      <c r="K10" s="267">
        <v>44000</v>
      </c>
      <c r="L10" s="267">
        <v>788100</v>
      </c>
      <c r="M10" s="256">
        <f t="shared" si="1"/>
        <v>192445.5430351707</v>
      </c>
      <c r="N10" s="269">
        <v>55</v>
      </c>
      <c r="P10" s="234">
        <f>4.4%/3</f>
        <v>1.4666666666666668E-2</v>
      </c>
      <c r="Q10" s="233">
        <f t="shared" si="0"/>
        <v>94800.933333333349</v>
      </c>
    </row>
    <row r="11" spans="1:17" ht="14.45" customHeight="1" x14ac:dyDescent="0.25">
      <c r="A11" s="246" t="s">
        <v>26</v>
      </c>
      <c r="B11" s="247" t="s">
        <v>40</v>
      </c>
      <c r="C11" s="247">
        <v>1</v>
      </c>
      <c r="D11" s="248">
        <v>10900000</v>
      </c>
      <c r="F11" s="377" t="s">
        <v>87</v>
      </c>
      <c r="G11" s="378"/>
      <c r="I11" s="266">
        <v>2025</v>
      </c>
      <c r="J11" s="267">
        <v>16500</v>
      </c>
      <c r="K11" s="267">
        <v>44900</v>
      </c>
      <c r="L11" s="267">
        <v>801700</v>
      </c>
      <c r="M11" s="256">
        <f t="shared" si="1"/>
        <v>195766.51675078843</v>
      </c>
      <c r="N11" s="269">
        <v>56</v>
      </c>
      <c r="P11" s="37">
        <v>1.4999999999999999E-2</v>
      </c>
      <c r="Q11" s="233">
        <f t="shared" si="0"/>
        <v>163500</v>
      </c>
    </row>
    <row r="12" spans="1:17" x14ac:dyDescent="0.25">
      <c r="A12" s="382"/>
      <c r="B12" s="383"/>
      <c r="C12" s="383"/>
      <c r="D12" s="384"/>
      <c r="F12" s="379" t="s">
        <v>78</v>
      </c>
      <c r="G12" s="380"/>
      <c r="I12" s="266">
        <v>2026</v>
      </c>
      <c r="J12" s="267">
        <v>16800</v>
      </c>
      <c r="K12" s="267">
        <v>45700</v>
      </c>
      <c r="L12" s="267">
        <v>814500</v>
      </c>
      <c r="M12" s="256">
        <f t="shared" si="1"/>
        <v>198892.13907136981</v>
      </c>
      <c r="N12" s="269">
        <v>57</v>
      </c>
      <c r="Q12" s="235">
        <f>SUM(Q6:Q11)</f>
        <v>469241.3666666667</v>
      </c>
    </row>
    <row r="13" spans="1:17" x14ac:dyDescent="0.25">
      <c r="A13" s="364" t="s">
        <v>52</v>
      </c>
      <c r="B13" s="365"/>
      <c r="C13" s="365"/>
      <c r="D13" s="62" t="s">
        <v>116</v>
      </c>
      <c r="F13" s="69" t="s">
        <v>81</v>
      </c>
      <c r="G13" s="73" t="s">
        <v>119</v>
      </c>
      <c r="I13" s="266">
        <v>2027</v>
      </c>
      <c r="J13" s="267">
        <v>17100</v>
      </c>
      <c r="K13" s="267">
        <v>46500</v>
      </c>
      <c r="L13" s="267">
        <v>827400</v>
      </c>
      <c r="M13" s="256">
        <f t="shared" si="1"/>
        <v>202042.18031633072</v>
      </c>
      <c r="N13" s="269">
        <v>58</v>
      </c>
    </row>
    <row r="14" spans="1:17" x14ac:dyDescent="0.25">
      <c r="A14" s="357" t="s">
        <v>53</v>
      </c>
      <c r="B14" s="358"/>
      <c r="C14" s="358"/>
      <c r="D14" s="249">
        <v>3700</v>
      </c>
      <c r="F14" s="71" t="s">
        <v>88</v>
      </c>
      <c r="G14" s="252">
        <v>0.45</v>
      </c>
      <c r="I14" s="266">
        <v>2028</v>
      </c>
      <c r="J14" s="267">
        <v>17400</v>
      </c>
      <c r="K14" s="267">
        <v>47300</v>
      </c>
      <c r="L14" s="267">
        <v>840600</v>
      </c>
      <c r="M14" s="256">
        <f t="shared" si="1"/>
        <v>205265.47833443026</v>
      </c>
      <c r="N14" s="269">
        <v>60</v>
      </c>
    </row>
    <row r="15" spans="1:17" x14ac:dyDescent="0.25">
      <c r="A15" s="357" t="s">
        <v>54</v>
      </c>
      <c r="B15" s="358"/>
      <c r="C15" s="358"/>
      <c r="D15" s="249">
        <v>77200</v>
      </c>
      <c r="F15" s="71" t="s">
        <v>89</v>
      </c>
      <c r="G15" s="252">
        <v>0.94</v>
      </c>
      <c r="I15" s="266">
        <v>2029</v>
      </c>
      <c r="J15" s="267">
        <v>17700</v>
      </c>
      <c r="K15" s="267">
        <v>48200</v>
      </c>
      <c r="L15" s="267">
        <v>854000</v>
      </c>
      <c r="M15" s="256">
        <f t="shared" si="1"/>
        <v>208537.61420128887</v>
      </c>
      <c r="N15" s="269">
        <v>61</v>
      </c>
    </row>
    <row r="16" spans="1:17" ht="15.75" thickBot="1" x14ac:dyDescent="0.3">
      <c r="A16" s="355" t="s">
        <v>55</v>
      </c>
      <c r="B16" s="356"/>
      <c r="C16" s="356"/>
      <c r="D16" s="249">
        <v>151100</v>
      </c>
      <c r="I16" s="266">
        <v>2030</v>
      </c>
      <c r="J16" s="267">
        <v>18100</v>
      </c>
      <c r="K16" s="267">
        <v>49100</v>
      </c>
      <c r="L16" s="267">
        <v>867600</v>
      </c>
      <c r="M16" s="256">
        <f t="shared" si="1"/>
        <v>211858.58791690657</v>
      </c>
      <c r="N16" s="269">
        <v>62</v>
      </c>
    </row>
    <row r="17" spans="1:20" x14ac:dyDescent="0.25">
      <c r="A17" s="355" t="s">
        <v>56</v>
      </c>
      <c r="B17" s="356"/>
      <c r="C17" s="356"/>
      <c r="D17" s="249">
        <v>554800</v>
      </c>
      <c r="F17" s="377" t="s">
        <v>79</v>
      </c>
      <c r="G17" s="381"/>
      <c r="I17" s="266">
        <v>2031</v>
      </c>
      <c r="J17" s="267">
        <v>18100</v>
      </c>
      <c r="K17" s="267">
        <v>49100</v>
      </c>
      <c r="L17" s="267">
        <v>867600</v>
      </c>
      <c r="M17" s="256">
        <f t="shared" si="1"/>
        <v>211858.58791690657</v>
      </c>
      <c r="N17" s="269">
        <v>63</v>
      </c>
      <c r="S17" s="53"/>
      <c r="T17" s="53"/>
    </row>
    <row r="18" spans="1:20" x14ac:dyDescent="0.25">
      <c r="A18" s="355" t="s">
        <v>57</v>
      </c>
      <c r="B18" s="356"/>
      <c r="C18" s="356"/>
      <c r="D18" s="249">
        <v>11600000</v>
      </c>
      <c r="F18" s="379" t="s">
        <v>78</v>
      </c>
      <c r="G18" s="390"/>
      <c r="I18" s="266">
        <v>2032</v>
      </c>
      <c r="J18" s="267">
        <v>18100</v>
      </c>
      <c r="K18" s="267">
        <v>49100</v>
      </c>
      <c r="L18" s="267">
        <v>867600</v>
      </c>
      <c r="M18" s="256">
        <f t="shared" si="1"/>
        <v>211858.58791690657</v>
      </c>
      <c r="N18" s="269">
        <v>64</v>
      </c>
      <c r="S18" s="53"/>
      <c r="T18" s="53"/>
    </row>
    <row r="19" spans="1:20" ht="43.9" customHeight="1" x14ac:dyDescent="0.25">
      <c r="A19" s="355" t="s">
        <v>58</v>
      </c>
      <c r="B19" s="356"/>
      <c r="C19" s="356"/>
      <c r="D19" s="249">
        <v>210300</v>
      </c>
      <c r="F19" s="75" t="s">
        <v>77</v>
      </c>
      <c r="G19" s="74" t="s">
        <v>120</v>
      </c>
      <c r="I19" s="266">
        <v>2033</v>
      </c>
      <c r="J19" s="267">
        <v>18100</v>
      </c>
      <c r="K19" s="267">
        <v>49100</v>
      </c>
      <c r="L19" s="267">
        <v>867600</v>
      </c>
      <c r="M19" s="256">
        <f t="shared" si="1"/>
        <v>211858.58791690657</v>
      </c>
      <c r="N19" s="269">
        <v>65</v>
      </c>
      <c r="S19" s="53"/>
      <c r="T19" s="53"/>
    </row>
    <row r="20" spans="1:20" x14ac:dyDescent="0.25">
      <c r="A20" s="355" t="s">
        <v>59</v>
      </c>
      <c r="B20" s="356"/>
      <c r="C20" s="356"/>
      <c r="D20" s="249">
        <v>159800</v>
      </c>
      <c r="F20" s="270">
        <v>2002</v>
      </c>
      <c r="G20" s="271">
        <v>1.3851</v>
      </c>
      <c r="I20" s="266">
        <v>2034</v>
      </c>
      <c r="J20" s="267">
        <v>18100</v>
      </c>
      <c r="K20" s="267">
        <v>49100</v>
      </c>
      <c r="L20" s="267">
        <v>867600</v>
      </c>
      <c r="M20" s="256">
        <f t="shared" si="1"/>
        <v>211858.58791690657</v>
      </c>
      <c r="N20" s="269">
        <v>66</v>
      </c>
      <c r="S20" s="53"/>
      <c r="T20" s="53"/>
    </row>
    <row r="21" spans="1:20" x14ac:dyDescent="0.25">
      <c r="A21" s="385"/>
      <c r="B21" s="386"/>
      <c r="C21" s="386"/>
      <c r="D21" s="387"/>
      <c r="F21" s="272">
        <v>2003</v>
      </c>
      <c r="G21" s="273">
        <v>1.38</v>
      </c>
      <c r="I21" s="266">
        <v>2035</v>
      </c>
      <c r="J21" s="267">
        <v>18100</v>
      </c>
      <c r="K21" s="267">
        <v>49100</v>
      </c>
      <c r="L21" s="267">
        <v>867600</v>
      </c>
      <c r="M21" s="256">
        <f t="shared" si="1"/>
        <v>211858.58791690657</v>
      </c>
      <c r="N21" s="269">
        <v>67</v>
      </c>
      <c r="S21" s="53"/>
      <c r="T21" s="53"/>
    </row>
    <row r="22" spans="1:20" x14ac:dyDescent="0.25">
      <c r="A22" s="388" t="s">
        <v>60</v>
      </c>
      <c r="B22" s="389"/>
      <c r="C22" s="389"/>
      <c r="D22" s="62" t="s">
        <v>116</v>
      </c>
      <c r="F22" s="266">
        <v>2004</v>
      </c>
      <c r="G22" s="273">
        <v>1.34</v>
      </c>
      <c r="I22" s="266">
        <v>2036</v>
      </c>
      <c r="J22" s="267">
        <v>18100</v>
      </c>
      <c r="K22" s="267">
        <v>49100</v>
      </c>
      <c r="L22" s="267">
        <v>867600</v>
      </c>
      <c r="M22" s="256">
        <f t="shared" si="1"/>
        <v>211858.58791690657</v>
      </c>
      <c r="N22" s="269">
        <v>69</v>
      </c>
      <c r="S22" s="53"/>
      <c r="T22" s="53"/>
    </row>
    <row r="23" spans="1:20" x14ac:dyDescent="0.25">
      <c r="A23" s="355" t="s">
        <v>61</v>
      </c>
      <c r="B23" s="356"/>
      <c r="C23" s="356"/>
      <c r="D23" s="249">
        <v>302600</v>
      </c>
      <c r="F23" s="266">
        <v>2005</v>
      </c>
      <c r="G23" s="273">
        <v>1.3</v>
      </c>
      <c r="I23" s="266">
        <v>2037</v>
      </c>
      <c r="J23" s="267">
        <v>18100</v>
      </c>
      <c r="K23" s="267">
        <v>49100</v>
      </c>
      <c r="L23" s="267">
        <v>867600</v>
      </c>
      <c r="M23" s="256">
        <f t="shared" si="1"/>
        <v>211858.58791690657</v>
      </c>
      <c r="N23" s="269">
        <v>70</v>
      </c>
      <c r="S23" s="53"/>
      <c r="T23" s="53"/>
    </row>
    <row r="24" spans="1:20" ht="15.75" thickBot="1" x14ac:dyDescent="0.3">
      <c r="A24" s="359" t="s">
        <v>62</v>
      </c>
      <c r="B24" s="360"/>
      <c r="C24" s="360"/>
      <c r="D24" s="250">
        <v>12837400</v>
      </c>
      <c r="F24" s="266">
        <v>2006</v>
      </c>
      <c r="G24" s="273">
        <v>1.26</v>
      </c>
      <c r="I24" s="266">
        <v>2038</v>
      </c>
      <c r="J24" s="267">
        <v>18100</v>
      </c>
      <c r="K24" s="267">
        <v>49100</v>
      </c>
      <c r="L24" s="267">
        <v>867600</v>
      </c>
      <c r="M24" s="256">
        <f t="shared" si="1"/>
        <v>211858.58791690657</v>
      </c>
      <c r="N24" s="269">
        <v>71</v>
      </c>
      <c r="S24" s="53"/>
      <c r="T24" s="53"/>
    </row>
    <row r="25" spans="1:20" ht="15.75" thickBot="1" x14ac:dyDescent="0.3">
      <c r="A25" s="20"/>
      <c r="B25" s="20"/>
      <c r="C25" s="20"/>
      <c r="D25" s="20"/>
      <c r="F25" s="266">
        <v>2007</v>
      </c>
      <c r="G25" s="273">
        <v>1.23</v>
      </c>
      <c r="I25" s="266">
        <v>2039</v>
      </c>
      <c r="J25" s="267">
        <v>18100</v>
      </c>
      <c r="K25" s="267">
        <v>49100</v>
      </c>
      <c r="L25" s="267">
        <v>867600</v>
      </c>
      <c r="M25" s="256">
        <f t="shared" si="1"/>
        <v>211858.58791690657</v>
      </c>
      <c r="N25" s="269">
        <v>72</v>
      </c>
      <c r="R25" s="53"/>
      <c r="S25" s="53"/>
      <c r="T25" s="53"/>
    </row>
    <row r="26" spans="1:20" x14ac:dyDescent="0.25">
      <c r="A26" s="63" t="s">
        <v>63</v>
      </c>
      <c r="B26" s="14"/>
      <c r="C26" s="14"/>
      <c r="D26" s="64"/>
      <c r="F26" s="266">
        <v>2008</v>
      </c>
      <c r="G26" s="273">
        <v>1.2</v>
      </c>
      <c r="I26" s="266">
        <v>2040</v>
      </c>
      <c r="J26" s="267">
        <v>18100</v>
      </c>
      <c r="K26" s="267">
        <v>49100</v>
      </c>
      <c r="L26" s="267">
        <v>867600</v>
      </c>
      <c r="M26" s="256">
        <f t="shared" si="1"/>
        <v>211858.58791690657</v>
      </c>
      <c r="N26" s="269">
        <v>73</v>
      </c>
      <c r="R26" s="53"/>
      <c r="S26" s="53"/>
      <c r="T26" s="53"/>
    </row>
    <row r="27" spans="1:20" x14ac:dyDescent="0.25">
      <c r="A27" s="364" t="s">
        <v>60</v>
      </c>
      <c r="B27" s="365"/>
      <c r="C27" s="365"/>
      <c r="D27" s="62" t="s">
        <v>117</v>
      </c>
      <c r="F27" s="266">
        <v>2009</v>
      </c>
      <c r="G27" s="273">
        <v>1.2</v>
      </c>
      <c r="I27" s="266">
        <v>2041</v>
      </c>
      <c r="J27" s="267">
        <v>18100</v>
      </c>
      <c r="K27" s="267">
        <v>49100</v>
      </c>
      <c r="L27" s="267">
        <v>867600</v>
      </c>
      <c r="M27" s="256">
        <f t="shared" si="1"/>
        <v>211858.58791690657</v>
      </c>
      <c r="N27" s="269">
        <v>74</v>
      </c>
      <c r="R27" s="53"/>
      <c r="S27" s="53"/>
      <c r="T27" s="53"/>
    </row>
    <row r="28" spans="1:20" ht="15.75" thickBot="1" x14ac:dyDescent="0.3">
      <c r="A28" s="366" t="s">
        <v>24</v>
      </c>
      <c r="B28" s="367"/>
      <c r="C28" s="367"/>
      <c r="D28" s="250">
        <v>4600</v>
      </c>
      <c r="F28" s="266">
        <v>2010</v>
      </c>
      <c r="G28" s="273">
        <v>1.18</v>
      </c>
      <c r="I28" s="266">
        <v>2042</v>
      </c>
      <c r="J28" s="267">
        <v>18100</v>
      </c>
      <c r="K28" s="267">
        <v>49100</v>
      </c>
      <c r="L28" s="267">
        <v>867600</v>
      </c>
      <c r="M28" s="256">
        <f t="shared" si="1"/>
        <v>211858.58791690657</v>
      </c>
      <c r="N28" s="269">
        <v>75</v>
      </c>
      <c r="R28" s="53"/>
      <c r="S28" s="53"/>
      <c r="T28" s="53"/>
    </row>
    <row r="29" spans="1:20" ht="15.75" thickBot="1" x14ac:dyDescent="0.3">
      <c r="F29" s="266">
        <v>2011</v>
      </c>
      <c r="G29" s="273">
        <v>1.1599999999999999</v>
      </c>
      <c r="I29" s="266">
        <v>2043</v>
      </c>
      <c r="J29" s="267">
        <v>18100</v>
      </c>
      <c r="K29" s="267">
        <v>49100</v>
      </c>
      <c r="L29" s="267">
        <v>867600</v>
      </c>
      <c r="M29" s="256">
        <f t="shared" si="1"/>
        <v>211858.58791690657</v>
      </c>
      <c r="N29" s="269">
        <v>77</v>
      </c>
      <c r="R29" s="53"/>
      <c r="S29" s="53"/>
      <c r="T29" s="53"/>
    </row>
    <row r="30" spans="1:20" x14ac:dyDescent="0.25">
      <c r="A30" s="63" t="s">
        <v>64</v>
      </c>
      <c r="B30" s="14"/>
      <c r="C30" s="14"/>
      <c r="D30" s="64"/>
      <c r="F30" s="266">
        <v>2012</v>
      </c>
      <c r="G30" s="273">
        <v>1.1399999999999999</v>
      </c>
      <c r="I30" s="266">
        <v>2044</v>
      </c>
      <c r="J30" s="267">
        <v>18100</v>
      </c>
      <c r="K30" s="267">
        <v>49100</v>
      </c>
      <c r="L30" s="267">
        <v>867600</v>
      </c>
      <c r="M30" s="256">
        <f t="shared" si="1"/>
        <v>211858.58791690657</v>
      </c>
      <c r="N30" s="269">
        <v>78</v>
      </c>
      <c r="R30" s="53"/>
      <c r="S30" s="53"/>
      <c r="T30" s="53"/>
    </row>
    <row r="31" spans="1:20" ht="28.9" customHeight="1" x14ac:dyDescent="0.25">
      <c r="A31" s="361" t="s">
        <v>118</v>
      </c>
      <c r="B31" s="362"/>
      <c r="C31" s="362"/>
      <c r="D31" s="363"/>
      <c r="F31" s="266">
        <v>2013</v>
      </c>
      <c r="G31" s="273">
        <v>1.1200000000000001</v>
      </c>
      <c r="I31" s="266">
        <v>2045</v>
      </c>
      <c r="J31" s="267">
        <v>18100</v>
      </c>
      <c r="K31" s="267">
        <v>49100</v>
      </c>
      <c r="L31" s="267">
        <v>867600</v>
      </c>
      <c r="M31" s="256">
        <f t="shared" si="1"/>
        <v>211858.58791690657</v>
      </c>
      <c r="N31" s="269">
        <v>79</v>
      </c>
      <c r="R31" s="53"/>
      <c r="S31" s="53"/>
      <c r="T31" s="53"/>
    </row>
    <row r="32" spans="1:20" x14ac:dyDescent="0.25">
      <c r="A32" s="364" t="s">
        <v>66</v>
      </c>
      <c r="B32" s="365"/>
      <c r="C32" s="365"/>
      <c r="D32" s="62" t="s">
        <v>65</v>
      </c>
      <c r="F32" s="266">
        <v>2014</v>
      </c>
      <c r="G32" s="273">
        <v>1.1000000000000001</v>
      </c>
      <c r="I32" s="266">
        <v>2046</v>
      </c>
      <c r="J32" s="267">
        <v>18100</v>
      </c>
      <c r="K32" s="267">
        <v>49100</v>
      </c>
      <c r="L32" s="267">
        <v>867600</v>
      </c>
      <c r="M32" s="256">
        <f t="shared" si="1"/>
        <v>211858.58791690657</v>
      </c>
      <c r="N32" s="269">
        <v>80</v>
      </c>
      <c r="R32" s="53"/>
      <c r="S32" s="368"/>
      <c r="T32" s="368"/>
    </row>
    <row r="33" spans="1:21" s="53" customFormat="1" x14ac:dyDescent="0.25">
      <c r="A33" s="373" t="s">
        <v>67</v>
      </c>
      <c r="B33" s="374"/>
      <c r="C33" s="374"/>
      <c r="D33" s="251"/>
      <c r="F33" s="266">
        <v>2015</v>
      </c>
      <c r="G33" s="273">
        <v>1.0900000000000001</v>
      </c>
      <c r="I33" s="266">
        <v>2047</v>
      </c>
      <c r="J33" s="267">
        <v>18100</v>
      </c>
      <c r="K33" s="267">
        <v>49100</v>
      </c>
      <c r="L33" s="267">
        <v>867600</v>
      </c>
      <c r="M33" s="256">
        <f t="shared" si="1"/>
        <v>211858.58791690657</v>
      </c>
      <c r="N33" s="269">
        <v>81</v>
      </c>
    </row>
    <row r="34" spans="1:21" x14ac:dyDescent="0.25">
      <c r="A34" s="357" t="s">
        <v>113</v>
      </c>
      <c r="B34" s="358"/>
      <c r="C34" s="358"/>
      <c r="D34" s="252">
        <v>16.2</v>
      </c>
      <c r="F34" s="266">
        <v>2016</v>
      </c>
      <c r="G34" s="273">
        <v>1.07</v>
      </c>
      <c r="I34" s="266">
        <v>2048</v>
      </c>
      <c r="J34" s="267">
        <v>18100</v>
      </c>
      <c r="K34" s="267">
        <v>49100</v>
      </c>
      <c r="L34" s="267">
        <v>867600</v>
      </c>
      <c r="M34" s="256">
        <f t="shared" si="1"/>
        <v>211858.58791690657</v>
      </c>
      <c r="N34" s="269">
        <v>82</v>
      </c>
      <c r="R34" s="53"/>
      <c r="S34" s="53"/>
      <c r="T34" s="53"/>
      <c r="U34" s="53"/>
    </row>
    <row r="35" spans="1:21" x14ac:dyDescent="0.25">
      <c r="A35" s="355" t="s">
        <v>68</v>
      </c>
      <c r="B35" s="356"/>
      <c r="C35" s="356"/>
      <c r="D35" s="252">
        <v>29.4</v>
      </c>
      <c r="F35" s="266">
        <v>2017</v>
      </c>
      <c r="G35" s="273">
        <v>1.05</v>
      </c>
      <c r="I35" s="266">
        <v>2049</v>
      </c>
      <c r="J35" s="267">
        <v>18100</v>
      </c>
      <c r="K35" s="267">
        <v>49100</v>
      </c>
      <c r="L35" s="267">
        <v>867600</v>
      </c>
      <c r="M35" s="256">
        <f t="shared" si="1"/>
        <v>211858.58791690657</v>
      </c>
      <c r="N35" s="269">
        <v>83</v>
      </c>
      <c r="R35" s="53"/>
      <c r="S35" s="53"/>
      <c r="T35" s="53"/>
      <c r="U35" s="53"/>
    </row>
    <row r="36" spans="1:21" ht="15.75" thickBot="1" x14ac:dyDescent="0.3">
      <c r="A36" s="355" t="s">
        <v>69</v>
      </c>
      <c r="B36" s="356"/>
      <c r="C36" s="356"/>
      <c r="D36" s="252">
        <v>17.8</v>
      </c>
      <c r="F36" s="266">
        <v>2018</v>
      </c>
      <c r="G36" s="273">
        <v>1.03</v>
      </c>
      <c r="I36" s="268">
        <v>2050</v>
      </c>
      <c r="J36" s="267">
        <v>18100</v>
      </c>
      <c r="K36" s="267">
        <v>49100</v>
      </c>
      <c r="L36" s="267">
        <v>867600</v>
      </c>
      <c r="M36" s="257">
        <f>M35*(L36/L35)</f>
        <v>211858.58791690657</v>
      </c>
      <c r="N36" s="269">
        <v>85</v>
      </c>
      <c r="R36" s="53"/>
      <c r="S36" s="53"/>
      <c r="T36" s="53"/>
      <c r="U36" s="53"/>
    </row>
    <row r="37" spans="1:21" x14ac:dyDescent="0.25">
      <c r="A37" s="375" t="s">
        <v>70</v>
      </c>
      <c r="B37" s="376"/>
      <c r="C37" s="376"/>
      <c r="D37" s="251"/>
      <c r="F37" s="268">
        <v>2019</v>
      </c>
      <c r="G37" s="274">
        <v>1.01</v>
      </c>
      <c r="I37" s="148">
        <v>2051</v>
      </c>
      <c r="J37" s="263">
        <v>18100</v>
      </c>
      <c r="K37" s="263">
        <v>49100</v>
      </c>
      <c r="L37" s="263">
        <v>867600</v>
      </c>
      <c r="M37" s="258">
        <f t="shared" ref="M37:M43" si="2">M36*(L37/L36)</f>
        <v>211858.58791690657</v>
      </c>
      <c r="N37" s="153">
        <v>84.892857142857096</v>
      </c>
      <c r="R37" s="53"/>
      <c r="S37" s="53"/>
      <c r="T37" s="53"/>
      <c r="U37" s="53"/>
    </row>
    <row r="38" spans="1:21" x14ac:dyDescent="0.25">
      <c r="A38" s="355" t="s">
        <v>71</v>
      </c>
      <c r="B38" s="356"/>
      <c r="C38" s="356"/>
      <c r="D38" s="252">
        <v>32</v>
      </c>
      <c r="F38" s="268">
        <v>2020</v>
      </c>
      <c r="G38" s="274">
        <v>1</v>
      </c>
      <c r="I38" s="149">
        <v>2052</v>
      </c>
      <c r="J38" s="264">
        <v>18100</v>
      </c>
      <c r="K38" s="264">
        <v>49100</v>
      </c>
      <c r="L38" s="264">
        <v>867600</v>
      </c>
      <c r="M38" s="259">
        <f t="shared" si="2"/>
        <v>211858.58791690657</v>
      </c>
      <c r="N38" s="154">
        <v>86.035714285714306</v>
      </c>
      <c r="R38" s="53"/>
      <c r="S38" s="53"/>
      <c r="T38" s="53"/>
      <c r="U38" s="53"/>
    </row>
    <row r="39" spans="1:21" x14ac:dyDescent="0.25">
      <c r="A39" s="355" t="s">
        <v>72</v>
      </c>
      <c r="B39" s="356"/>
      <c r="C39" s="356"/>
      <c r="D39" s="252">
        <v>33.6</v>
      </c>
      <c r="F39" s="149" t="s">
        <v>105</v>
      </c>
      <c r="G39" s="151">
        <f>G38-(G37-G38)</f>
        <v>0.99</v>
      </c>
      <c r="I39" s="149">
        <v>2053</v>
      </c>
      <c r="J39" s="264">
        <v>18100</v>
      </c>
      <c r="K39" s="264">
        <v>49100</v>
      </c>
      <c r="L39" s="264">
        <v>867600</v>
      </c>
      <c r="M39" s="259">
        <f t="shared" si="2"/>
        <v>211858.58791690657</v>
      </c>
      <c r="N39" s="154">
        <v>87.178571428571402</v>
      </c>
      <c r="R39" s="53"/>
      <c r="S39" s="53"/>
      <c r="T39" s="53"/>
      <c r="U39" s="53"/>
    </row>
    <row r="40" spans="1:21" x14ac:dyDescent="0.25">
      <c r="A40" s="355" t="s">
        <v>73</v>
      </c>
      <c r="B40" s="356"/>
      <c r="C40" s="356"/>
      <c r="D40" s="252">
        <v>50.7</v>
      </c>
      <c r="F40" s="149" t="s">
        <v>106</v>
      </c>
      <c r="G40" s="151">
        <f>G39-(G38-G39)</f>
        <v>0.98</v>
      </c>
      <c r="I40" s="149">
        <v>2054</v>
      </c>
      <c r="J40" s="264">
        <v>18100</v>
      </c>
      <c r="K40" s="264">
        <v>49100</v>
      </c>
      <c r="L40" s="264">
        <v>867600</v>
      </c>
      <c r="M40" s="259">
        <f t="shared" si="2"/>
        <v>211858.58791690657</v>
      </c>
      <c r="N40" s="154">
        <v>88.321428571428598</v>
      </c>
      <c r="R40" s="53"/>
      <c r="S40" s="53"/>
      <c r="T40" s="53"/>
      <c r="U40" s="53"/>
    </row>
    <row r="41" spans="1:21" ht="15.75" thickBot="1" x14ac:dyDescent="0.3">
      <c r="A41" s="359" t="s">
        <v>74</v>
      </c>
      <c r="B41" s="360"/>
      <c r="C41" s="360"/>
      <c r="D41" s="253">
        <v>52.5</v>
      </c>
      <c r="F41" s="149" t="s">
        <v>107</v>
      </c>
      <c r="G41" s="151">
        <f t="shared" ref="G41:G44" si="3">G40-(G39-G40)</f>
        <v>0.97</v>
      </c>
      <c r="I41" s="149">
        <v>2055</v>
      </c>
      <c r="J41" s="264">
        <v>18100</v>
      </c>
      <c r="K41" s="264">
        <v>49100</v>
      </c>
      <c r="L41" s="264">
        <v>867600</v>
      </c>
      <c r="M41" s="259">
        <f t="shared" si="2"/>
        <v>211858.58791690657</v>
      </c>
      <c r="N41" s="154">
        <v>89.464285714285694</v>
      </c>
      <c r="R41" s="53"/>
      <c r="S41" s="53"/>
      <c r="T41" s="53"/>
      <c r="U41" s="53"/>
    </row>
    <row r="42" spans="1:21" x14ac:dyDescent="0.25">
      <c r="F42" s="149" t="s">
        <v>108</v>
      </c>
      <c r="G42" s="151">
        <f t="shared" si="3"/>
        <v>0.96</v>
      </c>
      <c r="I42" s="149">
        <v>2056</v>
      </c>
      <c r="J42" s="264">
        <v>18100</v>
      </c>
      <c r="K42" s="264">
        <v>49100</v>
      </c>
      <c r="L42" s="264">
        <v>867600</v>
      </c>
      <c r="M42" s="259">
        <f t="shared" si="2"/>
        <v>211858.58791690657</v>
      </c>
      <c r="N42" s="154">
        <v>90.607142857142904</v>
      </c>
      <c r="R42" s="53"/>
      <c r="S42" s="53"/>
      <c r="T42" s="53"/>
      <c r="U42" s="53"/>
    </row>
    <row r="43" spans="1:21" ht="15.75" thickBot="1" x14ac:dyDescent="0.3">
      <c r="A43" t="s">
        <v>114</v>
      </c>
      <c r="F43" s="149" t="s">
        <v>109</v>
      </c>
      <c r="G43" s="151">
        <f t="shared" si="3"/>
        <v>0.95</v>
      </c>
      <c r="I43" s="150">
        <v>2057</v>
      </c>
      <c r="J43" s="265">
        <v>18100</v>
      </c>
      <c r="K43" s="265">
        <v>49100</v>
      </c>
      <c r="L43" s="265">
        <v>867600</v>
      </c>
      <c r="M43" s="260">
        <f t="shared" si="2"/>
        <v>211858.58791690657</v>
      </c>
      <c r="N43" s="155">
        <v>91.75</v>
      </c>
      <c r="R43" s="53"/>
      <c r="S43" s="53"/>
      <c r="T43" s="53"/>
      <c r="U43" s="53"/>
    </row>
    <row r="44" spans="1:21" ht="15.75" thickBot="1" x14ac:dyDescent="0.3">
      <c r="F44" s="150" t="s">
        <v>110</v>
      </c>
      <c r="G44" s="152">
        <f t="shared" si="3"/>
        <v>0.94</v>
      </c>
      <c r="I44" s="53" t="s">
        <v>98</v>
      </c>
      <c r="R44" s="53"/>
      <c r="S44" s="53"/>
      <c r="T44" s="53"/>
      <c r="U44" s="53"/>
    </row>
    <row r="45" spans="1:21" x14ac:dyDescent="0.25">
      <c r="F45" s="53" t="s">
        <v>111</v>
      </c>
      <c r="I45" s="52" t="s">
        <v>32</v>
      </c>
      <c r="R45" s="53"/>
      <c r="S45" s="53"/>
      <c r="T45" s="53"/>
      <c r="U45" s="53"/>
    </row>
    <row r="47" spans="1:21" x14ac:dyDescent="0.25">
      <c r="I47" s="53"/>
      <c r="R47" s="53"/>
      <c r="S47" s="53"/>
      <c r="T47" s="53"/>
      <c r="U47" s="37"/>
    </row>
    <row r="48" spans="1:21" x14ac:dyDescent="0.25">
      <c r="I48" s="53"/>
      <c r="R48" s="53"/>
      <c r="S48" s="53"/>
      <c r="T48" s="53"/>
      <c r="U48" s="37"/>
    </row>
  </sheetData>
  <mergeCells count="34">
    <mergeCell ref="S32:T32"/>
    <mergeCell ref="I3:N3"/>
    <mergeCell ref="A36:C36"/>
    <mergeCell ref="A33:C33"/>
    <mergeCell ref="A37:C37"/>
    <mergeCell ref="F3:G3"/>
    <mergeCell ref="F4:G4"/>
    <mergeCell ref="F11:G11"/>
    <mergeCell ref="F12:G12"/>
    <mergeCell ref="F17:G17"/>
    <mergeCell ref="A12:D12"/>
    <mergeCell ref="A21:D21"/>
    <mergeCell ref="A22:C22"/>
    <mergeCell ref="F18:G18"/>
    <mergeCell ref="A13:C13"/>
    <mergeCell ref="A14:C14"/>
    <mergeCell ref="A41:C41"/>
    <mergeCell ref="A31:D31"/>
    <mergeCell ref="A39:C39"/>
    <mergeCell ref="A40:C40"/>
    <mergeCell ref="A23:C23"/>
    <mergeCell ref="A38:C38"/>
    <mergeCell ref="A24:C24"/>
    <mergeCell ref="A27:C27"/>
    <mergeCell ref="A28:C28"/>
    <mergeCell ref="A32:C32"/>
    <mergeCell ref="A34:C34"/>
    <mergeCell ref="A35:C35"/>
    <mergeCell ref="A20:C20"/>
    <mergeCell ref="A15:C15"/>
    <mergeCell ref="A16:C16"/>
    <mergeCell ref="A17:C17"/>
    <mergeCell ref="A18:C18"/>
    <mergeCell ref="A19:C19"/>
  </mergeCells>
  <hyperlinks>
    <hyperlink ref="I45" r:id="rId1" xr:uid="{E8359697-FDC2-46C9-A4F0-6CB4FB968CDD}"/>
  </hyperlinks>
  <pageMargins left="0.7" right="0.7" top="0.75" bottom="0.75" header="0.3" footer="0.3"/>
  <pageSetup scale="62" orientation="landscape" horizontalDpi="300" verticalDpi="300" r:id="rId2"/>
  <headerFooter>
    <oddHeader>&amp;LBCA Analysis&amp;CIron Horse - Ped and Bike Improvements&amp;R&amp;D</oddHeader>
    <oddFooter>&amp;RPage 11 of 11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91232-3DFF-43FC-B72C-4A645C8E6DE9}">
  <sheetPr>
    <tabColor theme="9" tint="0.59999389629810485"/>
  </sheetPr>
  <dimension ref="A2:B33"/>
  <sheetViews>
    <sheetView tabSelected="1" workbookViewId="0">
      <selection activeCell="A4" sqref="A4"/>
    </sheetView>
  </sheetViews>
  <sheetFormatPr defaultRowHeight="15" x14ac:dyDescent="0.25"/>
  <sheetData>
    <row r="2" spans="1:2" x14ac:dyDescent="0.25">
      <c r="A2" t="s">
        <v>266</v>
      </c>
      <c r="B2" t="s">
        <v>267</v>
      </c>
    </row>
    <row r="3" spans="1:2" x14ac:dyDescent="0.25">
      <c r="A3" s="110">
        <v>2027</v>
      </c>
      <c r="B3" s="317">
        <f>SUM('Gap Users'!C6:D6)</f>
        <v>9675</v>
      </c>
    </row>
    <row r="4" spans="1:2" x14ac:dyDescent="0.25">
      <c r="A4" s="112">
        <v>2028</v>
      </c>
      <c r="B4" s="317">
        <f>B$3+(A4-A$3)*(B$33-B$3)/(A$33-A$3)</f>
        <v>9683.0625</v>
      </c>
    </row>
    <row r="5" spans="1:2" x14ac:dyDescent="0.25">
      <c r="A5" s="114">
        <v>2029</v>
      </c>
      <c r="B5" s="317">
        <f t="shared" ref="B5:B32" si="0">B$3+(A5-A$3)*(B$33-B$3)/(A$33-A$3)</f>
        <v>9691.125</v>
      </c>
    </row>
    <row r="6" spans="1:2" x14ac:dyDescent="0.25">
      <c r="A6" s="112">
        <v>2030</v>
      </c>
      <c r="B6" s="317">
        <f t="shared" si="0"/>
        <v>9699.1875</v>
      </c>
    </row>
    <row r="7" spans="1:2" x14ac:dyDescent="0.25">
      <c r="A7" s="114">
        <v>2031</v>
      </c>
      <c r="B7" s="317">
        <f t="shared" si="0"/>
        <v>9707.25</v>
      </c>
    </row>
    <row r="8" spans="1:2" x14ac:dyDescent="0.25">
      <c r="A8" s="112">
        <v>2032</v>
      </c>
      <c r="B8" s="317">
        <f t="shared" si="0"/>
        <v>9715.3125</v>
      </c>
    </row>
    <row r="9" spans="1:2" x14ac:dyDescent="0.25">
      <c r="A9" s="114">
        <v>2033</v>
      </c>
      <c r="B9" s="317">
        <f t="shared" si="0"/>
        <v>9723.375</v>
      </c>
    </row>
    <row r="10" spans="1:2" x14ac:dyDescent="0.25">
      <c r="A10" s="112">
        <v>2034</v>
      </c>
      <c r="B10" s="317">
        <f t="shared" si="0"/>
        <v>9731.4375</v>
      </c>
    </row>
    <row r="11" spans="1:2" x14ac:dyDescent="0.25">
      <c r="A11" s="114">
        <v>2035</v>
      </c>
      <c r="B11" s="317">
        <f t="shared" si="0"/>
        <v>9739.5</v>
      </c>
    </row>
    <row r="12" spans="1:2" x14ac:dyDescent="0.25">
      <c r="A12" s="112">
        <v>2036</v>
      </c>
      <c r="B12" s="317">
        <f t="shared" si="0"/>
        <v>9747.5625</v>
      </c>
    </row>
    <row r="13" spans="1:2" x14ac:dyDescent="0.25">
      <c r="A13" s="114">
        <v>2037</v>
      </c>
      <c r="B13" s="317">
        <f t="shared" si="0"/>
        <v>9755.625</v>
      </c>
    </row>
    <row r="14" spans="1:2" x14ac:dyDescent="0.25">
      <c r="A14" s="112">
        <v>2038</v>
      </c>
      <c r="B14" s="317">
        <f t="shared" si="0"/>
        <v>9763.6875</v>
      </c>
    </row>
    <row r="15" spans="1:2" x14ac:dyDescent="0.25">
      <c r="A15" s="114">
        <v>2039</v>
      </c>
      <c r="B15" s="317">
        <f t="shared" si="0"/>
        <v>9771.75</v>
      </c>
    </row>
    <row r="16" spans="1:2" x14ac:dyDescent="0.25">
      <c r="A16" s="112">
        <v>2040</v>
      </c>
      <c r="B16" s="317">
        <f t="shared" si="0"/>
        <v>9779.8125</v>
      </c>
    </row>
    <row r="17" spans="1:2" x14ac:dyDescent="0.25">
      <c r="A17" s="114">
        <v>2041</v>
      </c>
      <c r="B17" s="317">
        <f t="shared" si="0"/>
        <v>9787.875</v>
      </c>
    </row>
    <row r="18" spans="1:2" x14ac:dyDescent="0.25">
      <c r="A18" s="112">
        <v>2042</v>
      </c>
      <c r="B18" s="317">
        <f t="shared" si="0"/>
        <v>9795.9375</v>
      </c>
    </row>
    <row r="19" spans="1:2" x14ac:dyDescent="0.25">
      <c r="A19" s="114">
        <v>2043</v>
      </c>
      <c r="B19" s="317">
        <f t="shared" si="0"/>
        <v>9804</v>
      </c>
    </row>
    <row r="20" spans="1:2" x14ac:dyDescent="0.25">
      <c r="A20" s="112">
        <v>2044</v>
      </c>
      <c r="B20" s="317">
        <f t="shared" si="0"/>
        <v>9812.0625</v>
      </c>
    </row>
    <row r="21" spans="1:2" x14ac:dyDescent="0.25">
      <c r="A21" s="114">
        <v>2045</v>
      </c>
      <c r="B21" s="317">
        <f t="shared" si="0"/>
        <v>9820.125</v>
      </c>
    </row>
    <row r="22" spans="1:2" x14ac:dyDescent="0.25">
      <c r="A22" s="112">
        <v>2046</v>
      </c>
      <c r="B22" s="317">
        <f t="shared" si="0"/>
        <v>9828.1875</v>
      </c>
    </row>
    <row r="23" spans="1:2" x14ac:dyDescent="0.25">
      <c r="A23" s="114">
        <v>2047</v>
      </c>
      <c r="B23" s="317">
        <f t="shared" si="0"/>
        <v>9836.25</v>
      </c>
    </row>
    <row r="24" spans="1:2" x14ac:dyDescent="0.25">
      <c r="A24" s="112">
        <v>2048</v>
      </c>
      <c r="B24" s="317">
        <f t="shared" si="0"/>
        <v>9844.3125</v>
      </c>
    </row>
    <row r="25" spans="1:2" x14ac:dyDescent="0.25">
      <c r="A25" s="114">
        <v>2049</v>
      </c>
      <c r="B25" s="317">
        <f t="shared" si="0"/>
        <v>9852.375</v>
      </c>
    </row>
    <row r="26" spans="1:2" x14ac:dyDescent="0.25">
      <c r="A26" s="112">
        <v>2050</v>
      </c>
      <c r="B26" s="317">
        <f t="shared" si="0"/>
        <v>9860.4375</v>
      </c>
    </row>
    <row r="27" spans="1:2" x14ac:dyDescent="0.25">
      <c r="A27" s="114">
        <v>2051</v>
      </c>
      <c r="B27" s="317">
        <f t="shared" si="0"/>
        <v>9868.5</v>
      </c>
    </row>
    <row r="28" spans="1:2" x14ac:dyDescent="0.25">
      <c r="A28" s="112">
        <v>2052</v>
      </c>
      <c r="B28" s="317">
        <f t="shared" si="0"/>
        <v>9876.5625</v>
      </c>
    </row>
    <row r="29" spans="1:2" x14ac:dyDescent="0.25">
      <c r="A29" s="114">
        <v>2053</v>
      </c>
      <c r="B29" s="317">
        <f t="shared" si="0"/>
        <v>9884.625</v>
      </c>
    </row>
    <row r="30" spans="1:2" x14ac:dyDescent="0.25">
      <c r="A30" s="112">
        <v>2054</v>
      </c>
      <c r="B30" s="317">
        <f t="shared" si="0"/>
        <v>9892.6875</v>
      </c>
    </row>
    <row r="31" spans="1:2" x14ac:dyDescent="0.25">
      <c r="A31" s="114">
        <v>2055</v>
      </c>
      <c r="B31" s="317">
        <f t="shared" si="0"/>
        <v>9900.75</v>
      </c>
    </row>
    <row r="32" spans="1:2" x14ac:dyDescent="0.25">
      <c r="A32" s="112">
        <v>2056</v>
      </c>
      <c r="B32" s="317">
        <f t="shared" si="0"/>
        <v>9908.8125</v>
      </c>
    </row>
    <row r="33" spans="1:2" ht="15.75" thickBot="1" x14ac:dyDescent="0.3">
      <c r="A33" s="116">
        <v>2057</v>
      </c>
      <c r="B33" s="317">
        <f>B3*1.025</f>
        <v>9916.875</v>
      </c>
    </row>
  </sheetData>
  <pageMargins left="0.7" right="0.7" top="0.75" bottom="0.75" header="0.3" footer="0.3"/>
  <pageSetup orientation="portrait" horizontalDpi="1200" verticalDpi="1200" r:id="rId1"/>
  <headerFooter>
    <oddHeader>&amp;CIron Horse - Ped and Bike Improvements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CF1E4-3A57-49FA-998C-637BFA17A99A}">
  <sheetPr>
    <tabColor theme="0" tint="-0.499984740745262"/>
    <pageSetUpPr fitToPage="1"/>
  </sheetPr>
  <dimension ref="A1:P96"/>
  <sheetViews>
    <sheetView zoomScale="70" zoomScaleNormal="70" workbookViewId="0">
      <selection activeCell="K31" sqref="K31"/>
    </sheetView>
  </sheetViews>
  <sheetFormatPr defaultColWidth="8.85546875" defaultRowHeight="15" x14ac:dyDescent="0.25"/>
  <cols>
    <col min="1" max="1" width="25.7109375" style="53" customWidth="1"/>
    <col min="2" max="4" width="20.85546875" style="53" customWidth="1"/>
    <col min="5" max="5" width="13.7109375" style="53" bestFit="1" customWidth="1"/>
    <col min="6" max="6" width="14.140625" style="53" bestFit="1" customWidth="1"/>
    <col min="7" max="7" width="20.85546875" style="53" bestFit="1" customWidth="1"/>
    <col min="8" max="8" width="13" style="53" bestFit="1" customWidth="1"/>
    <col min="9" max="9" width="14.5703125" style="53" bestFit="1" customWidth="1"/>
    <col min="10" max="10" width="12.28515625" style="53" bestFit="1" customWidth="1"/>
    <col min="11" max="11" width="13.7109375" style="53" bestFit="1" customWidth="1"/>
    <col min="12" max="12" width="19.7109375" style="53" bestFit="1" customWidth="1"/>
    <col min="13" max="13" width="13.5703125" style="53" bestFit="1" customWidth="1"/>
    <col min="14" max="14" width="12.28515625" style="53" bestFit="1" customWidth="1"/>
    <col min="15" max="15" width="11.28515625" style="53" bestFit="1" customWidth="1"/>
    <col min="16" max="16" width="16.5703125" style="53" bestFit="1" customWidth="1"/>
    <col min="17" max="16384" width="8.85546875" style="53"/>
  </cols>
  <sheetData>
    <row r="1" spans="1:16" ht="18.75" x14ac:dyDescent="0.3">
      <c r="A1" s="76" t="s">
        <v>91</v>
      </c>
    </row>
    <row r="2" spans="1:16" x14ac:dyDescent="0.25">
      <c r="B2" s="31"/>
      <c r="C2" s="31"/>
      <c r="D2" s="31"/>
      <c r="E2" s="42"/>
      <c r="F2" s="46"/>
      <c r="G2" s="46"/>
      <c r="H2" s="45"/>
    </row>
    <row r="3" spans="1:16" ht="15.75" thickBot="1" x14ac:dyDescent="0.3">
      <c r="A3" s="21" t="s">
        <v>95</v>
      </c>
      <c r="B3" s="31"/>
      <c r="C3" s="31"/>
      <c r="D3" s="31"/>
      <c r="E3" s="42"/>
      <c r="F3" s="46"/>
      <c r="G3" s="46"/>
      <c r="H3" s="45"/>
    </row>
    <row r="4" spans="1:16" ht="45" x14ac:dyDescent="0.25">
      <c r="A4" s="81" t="s">
        <v>14</v>
      </c>
      <c r="B4" s="89" t="s">
        <v>123</v>
      </c>
      <c r="C4" s="89" t="s">
        <v>124</v>
      </c>
      <c r="D4" s="89" t="s">
        <v>15</v>
      </c>
      <c r="E4" s="89" t="s">
        <v>90</v>
      </c>
      <c r="F4" s="89" t="s">
        <v>16</v>
      </c>
      <c r="G4" s="276" t="s">
        <v>125</v>
      </c>
      <c r="H4" s="181" t="s">
        <v>17</v>
      </c>
      <c r="I4" s="186" t="s">
        <v>102</v>
      </c>
      <c r="J4" s="24"/>
      <c r="K4" s="24"/>
      <c r="L4" s="24"/>
      <c r="M4" s="24"/>
    </row>
    <row r="5" spans="1:16" hidden="1" x14ac:dyDescent="0.25">
      <c r="A5" s="82" t="s">
        <v>18</v>
      </c>
      <c r="B5" s="90"/>
      <c r="C5" s="90"/>
      <c r="D5" s="90">
        <v>44348</v>
      </c>
      <c r="E5" s="90">
        <v>44470</v>
      </c>
      <c r="F5" s="90">
        <v>45565</v>
      </c>
      <c r="G5" s="277"/>
      <c r="H5" s="182">
        <f>MIN(D5:F5)</f>
        <v>44348</v>
      </c>
      <c r="I5" s="187"/>
      <c r="J5" s="78"/>
      <c r="K5" s="78"/>
      <c r="L5" s="48"/>
      <c r="M5" s="79"/>
    </row>
    <row r="6" spans="1:16" hidden="1" x14ac:dyDescent="0.25">
      <c r="A6" s="82" t="s">
        <v>18</v>
      </c>
      <c r="B6" s="90"/>
      <c r="C6" s="90"/>
      <c r="D6" s="90"/>
      <c r="E6" s="90"/>
      <c r="F6" s="90"/>
      <c r="G6" s="277"/>
      <c r="H6" s="182">
        <f>MIN(D6:F6)</f>
        <v>0</v>
      </c>
      <c r="I6" s="187"/>
      <c r="J6" s="78"/>
      <c r="K6" s="78"/>
      <c r="L6" s="48"/>
      <c r="M6" s="79"/>
    </row>
    <row r="7" spans="1:16" hidden="1" x14ac:dyDescent="0.25">
      <c r="A7" s="82" t="s">
        <v>19</v>
      </c>
      <c r="B7" s="90"/>
      <c r="C7" s="90"/>
      <c r="D7" s="90"/>
      <c r="E7" s="90"/>
      <c r="F7" s="90"/>
      <c r="G7" s="277"/>
      <c r="H7" s="182">
        <f>MAX(D7:F7)</f>
        <v>0</v>
      </c>
      <c r="I7" s="187"/>
      <c r="J7" s="78"/>
      <c r="K7" s="78"/>
      <c r="L7" s="48"/>
      <c r="M7" s="79"/>
    </row>
    <row r="8" spans="1:16" hidden="1" x14ac:dyDescent="0.25">
      <c r="A8" s="82" t="s">
        <v>19</v>
      </c>
      <c r="B8" s="90"/>
      <c r="C8" s="90"/>
      <c r="D8" s="90">
        <v>45200</v>
      </c>
      <c r="E8" s="90">
        <v>45474</v>
      </c>
      <c r="F8" s="90">
        <v>46752</v>
      </c>
      <c r="G8" s="277"/>
      <c r="H8" s="182">
        <f>MAX(D8:F8)</f>
        <v>46752</v>
      </c>
      <c r="I8" s="187"/>
      <c r="J8" s="78"/>
      <c r="K8" s="78"/>
      <c r="L8" s="48"/>
      <c r="M8" s="79"/>
    </row>
    <row r="9" spans="1:16" x14ac:dyDescent="0.25">
      <c r="A9" s="82" t="s">
        <v>122</v>
      </c>
      <c r="B9" s="86"/>
      <c r="C9" s="86"/>
      <c r="D9" s="86"/>
      <c r="E9" s="84">
        <v>990000</v>
      </c>
      <c r="F9" s="84">
        <v>60297000</v>
      </c>
      <c r="G9" s="278"/>
      <c r="H9" s="183">
        <f>SUM(D9:F9)</f>
        <v>61287000</v>
      </c>
      <c r="I9" s="188"/>
      <c r="J9" s="80"/>
      <c r="K9" s="80"/>
      <c r="L9" s="80"/>
      <c r="M9" s="29"/>
    </row>
    <row r="10" spans="1:16" ht="15.75" thickBot="1" x14ac:dyDescent="0.3">
      <c r="A10" s="83" t="s">
        <v>121</v>
      </c>
      <c r="B10" s="85"/>
      <c r="C10" s="85"/>
      <c r="D10" s="85">
        <f>D9*Parameters!$G$40</f>
        <v>0</v>
      </c>
      <c r="E10" s="87">
        <f>E9*Parameters!$G$40</f>
        <v>970200</v>
      </c>
      <c r="F10" s="88">
        <f>F9*Parameters!$G$40</f>
        <v>59091060</v>
      </c>
      <c r="G10" s="279"/>
      <c r="H10" s="184">
        <f>SUM(D10:F10)</f>
        <v>60061260</v>
      </c>
      <c r="I10" s="189"/>
      <c r="J10" s="80"/>
      <c r="K10" s="80"/>
      <c r="L10" s="80"/>
      <c r="M10" s="29"/>
    </row>
    <row r="11" spans="1:16" x14ac:dyDescent="0.25">
      <c r="A11" s="101">
        <v>2021</v>
      </c>
      <c r="B11" s="102"/>
      <c r="C11" s="102"/>
      <c r="D11" s="102"/>
      <c r="E11" s="102"/>
      <c r="F11" s="102"/>
      <c r="G11" s="280"/>
      <c r="H11" s="185">
        <f>SUM(D11:F11)</f>
        <v>0</v>
      </c>
      <c r="I11" s="190">
        <f>H11/(1.07^($A11-$A$11))</f>
        <v>0</v>
      </c>
      <c r="J11" s="80"/>
      <c r="K11" s="80"/>
      <c r="L11" s="80"/>
      <c r="M11" s="29"/>
      <c r="P11" s="55"/>
    </row>
    <row r="12" spans="1:16" x14ac:dyDescent="0.25">
      <c r="A12" s="82">
        <v>2022</v>
      </c>
      <c r="B12" s="91"/>
      <c r="C12" s="91"/>
      <c r="D12" s="91"/>
      <c r="E12" s="91">
        <f>0.38*E9</f>
        <v>376200</v>
      </c>
      <c r="F12" s="91">
        <f>0.38*F9*0.5</f>
        <v>11456430</v>
      </c>
      <c r="G12" s="121"/>
      <c r="H12" s="183">
        <f t="shared" ref="H12:H18" si="0">SUM(D12:F12)</f>
        <v>11832630</v>
      </c>
      <c r="I12" s="191">
        <f t="shared" ref="I12:I47" si="1">H12/(1.07^($A12-$A$11))</f>
        <v>11058532.710280374</v>
      </c>
      <c r="J12" s="80"/>
      <c r="K12" s="80"/>
      <c r="L12" s="80"/>
      <c r="M12" s="29"/>
      <c r="O12" s="55"/>
      <c r="P12" s="55"/>
    </row>
    <row r="13" spans="1:16" x14ac:dyDescent="0.25">
      <c r="A13" s="82">
        <v>2023</v>
      </c>
      <c r="B13" s="91"/>
      <c r="C13" s="91"/>
      <c r="D13" s="91"/>
      <c r="E13" s="91"/>
      <c r="F13" s="91">
        <f>F12</f>
        <v>11456430</v>
      </c>
      <c r="G13" s="121"/>
      <c r="H13" s="183">
        <f t="shared" si="0"/>
        <v>11456430</v>
      </c>
      <c r="I13" s="191">
        <f t="shared" si="1"/>
        <v>10006489.649751069</v>
      </c>
      <c r="J13" s="80"/>
      <c r="K13" s="80"/>
      <c r="L13" s="80"/>
      <c r="M13" s="29"/>
      <c r="P13" s="55"/>
    </row>
    <row r="14" spans="1:16" x14ac:dyDescent="0.25">
      <c r="A14" s="82">
        <v>2024</v>
      </c>
      <c r="B14" s="275"/>
      <c r="C14" s="275"/>
      <c r="D14" s="91"/>
      <c r="E14" s="91">
        <f>E9-E12</f>
        <v>613800</v>
      </c>
      <c r="F14" s="91">
        <f>(F9-SUM(F12:F13))*0.5</f>
        <v>18692070</v>
      </c>
      <c r="G14" s="121"/>
      <c r="H14" s="183">
        <f t="shared" si="0"/>
        <v>19305870</v>
      </c>
      <c r="I14" s="191">
        <f t="shared" si="1"/>
        <v>15759340.692530792</v>
      </c>
      <c r="J14" s="80"/>
      <c r="K14" s="80"/>
      <c r="L14" s="80"/>
      <c r="M14" s="29"/>
      <c r="P14" s="55"/>
    </row>
    <row r="15" spans="1:16" x14ac:dyDescent="0.25">
      <c r="A15" s="82">
        <v>2025</v>
      </c>
      <c r="B15" s="91"/>
      <c r="C15" s="91"/>
      <c r="D15" s="91"/>
      <c r="E15" s="91"/>
      <c r="F15" s="91">
        <f>F14</f>
        <v>18692070</v>
      </c>
      <c r="G15" s="121"/>
      <c r="H15" s="183">
        <f t="shared" si="0"/>
        <v>18692070</v>
      </c>
      <c r="I15" s="191">
        <f t="shared" si="1"/>
        <v>14260090.706257185</v>
      </c>
      <c r="J15" s="80"/>
      <c r="K15" s="80"/>
      <c r="L15" s="80"/>
      <c r="M15" s="29"/>
      <c r="P15" s="55"/>
    </row>
    <row r="16" spans="1:16" x14ac:dyDescent="0.25">
      <c r="A16" s="82">
        <v>2026</v>
      </c>
      <c r="B16" s="91"/>
      <c r="C16" s="91"/>
      <c r="D16" s="91"/>
      <c r="E16" s="91"/>
      <c r="F16" s="91"/>
      <c r="G16" s="121"/>
      <c r="H16" s="183">
        <f t="shared" si="0"/>
        <v>0</v>
      </c>
      <c r="I16" s="191">
        <f t="shared" si="1"/>
        <v>0</v>
      </c>
      <c r="J16" s="80"/>
      <c r="K16" s="80"/>
      <c r="L16" s="80"/>
      <c r="M16" s="29"/>
      <c r="P16" s="55"/>
    </row>
    <row r="17" spans="1:15" x14ac:dyDescent="0.25">
      <c r="A17" s="82">
        <v>2027</v>
      </c>
      <c r="B17" s="91"/>
      <c r="C17" s="91"/>
      <c r="D17" s="91"/>
      <c r="E17" s="91"/>
      <c r="F17" s="91"/>
      <c r="G17" s="121"/>
      <c r="H17" s="183">
        <f t="shared" si="0"/>
        <v>0</v>
      </c>
      <c r="I17" s="191">
        <f t="shared" si="1"/>
        <v>0</v>
      </c>
      <c r="J17" s="80"/>
      <c r="K17" s="80"/>
      <c r="L17" s="80"/>
      <c r="M17" s="29"/>
      <c r="O17" s="55"/>
    </row>
    <row r="18" spans="1:15" x14ac:dyDescent="0.25">
      <c r="A18" s="82">
        <v>2028</v>
      </c>
      <c r="B18" s="91"/>
      <c r="C18" s="91"/>
      <c r="D18" s="91"/>
      <c r="E18" s="91"/>
      <c r="F18" s="91"/>
      <c r="G18" s="121"/>
      <c r="H18" s="183">
        <f t="shared" si="0"/>
        <v>0</v>
      </c>
      <c r="I18" s="191">
        <f t="shared" si="1"/>
        <v>0</v>
      </c>
      <c r="J18" s="80"/>
      <c r="K18" s="80"/>
      <c r="L18" s="80"/>
      <c r="M18" s="29"/>
    </row>
    <row r="19" spans="1:15" x14ac:dyDescent="0.25">
      <c r="A19" s="82">
        <v>2029</v>
      </c>
      <c r="B19" s="91"/>
      <c r="C19" s="91"/>
      <c r="D19" s="91"/>
      <c r="E19" s="91"/>
      <c r="F19" s="91"/>
      <c r="G19" s="121"/>
      <c r="H19" s="183">
        <f t="shared" ref="H19:H47" si="2">SUM(D19:F19)</f>
        <v>0</v>
      </c>
      <c r="I19" s="191">
        <f t="shared" si="1"/>
        <v>0</v>
      </c>
      <c r="J19" s="80"/>
      <c r="K19" s="80"/>
      <c r="L19" s="80"/>
      <c r="M19" s="29"/>
    </row>
    <row r="20" spans="1:15" x14ac:dyDescent="0.25">
      <c r="A20" s="82">
        <v>2030</v>
      </c>
      <c r="B20" s="91"/>
      <c r="C20" s="91"/>
      <c r="D20" s="91"/>
      <c r="E20" s="91"/>
      <c r="F20" s="91"/>
      <c r="G20" s="121"/>
      <c r="H20" s="183">
        <f t="shared" si="2"/>
        <v>0</v>
      </c>
      <c r="I20" s="191">
        <f t="shared" si="1"/>
        <v>0</v>
      </c>
      <c r="J20" s="80"/>
      <c r="K20" s="80"/>
      <c r="L20" s="80"/>
      <c r="M20" s="29"/>
    </row>
    <row r="21" spans="1:15" x14ac:dyDescent="0.25">
      <c r="A21" s="82">
        <v>2031</v>
      </c>
      <c r="B21" s="91"/>
      <c r="C21" s="91"/>
      <c r="D21" s="91"/>
      <c r="E21" s="91"/>
      <c r="F21" s="91"/>
      <c r="G21" s="121"/>
      <c r="H21" s="183">
        <f t="shared" si="2"/>
        <v>0</v>
      </c>
      <c r="I21" s="191">
        <f t="shared" si="1"/>
        <v>0</v>
      </c>
      <c r="J21" s="80"/>
      <c r="K21" s="80"/>
      <c r="L21" s="80"/>
      <c r="M21" s="29"/>
    </row>
    <row r="22" spans="1:15" x14ac:dyDescent="0.25">
      <c r="A22" s="82">
        <v>2032</v>
      </c>
      <c r="B22" s="91"/>
      <c r="C22" s="91"/>
      <c r="D22" s="91"/>
      <c r="E22" s="91"/>
      <c r="F22" s="91"/>
      <c r="G22" s="121"/>
      <c r="H22" s="183">
        <f t="shared" si="2"/>
        <v>0</v>
      </c>
      <c r="I22" s="191">
        <f t="shared" si="1"/>
        <v>0</v>
      </c>
      <c r="J22" s="80"/>
      <c r="K22" s="80"/>
      <c r="L22" s="80"/>
      <c r="M22" s="29"/>
    </row>
    <row r="23" spans="1:15" x14ac:dyDescent="0.25">
      <c r="A23" s="82">
        <v>2033</v>
      </c>
      <c r="B23" s="91"/>
      <c r="C23" s="91"/>
      <c r="D23" s="91"/>
      <c r="E23" s="91"/>
      <c r="F23" s="91"/>
      <c r="G23" s="121"/>
      <c r="H23" s="183">
        <f t="shared" si="2"/>
        <v>0</v>
      </c>
      <c r="I23" s="191">
        <f t="shared" si="1"/>
        <v>0</v>
      </c>
      <c r="J23" s="80"/>
      <c r="K23" s="80"/>
      <c r="L23" s="80"/>
      <c r="M23" s="29"/>
    </row>
    <row r="24" spans="1:15" x14ac:dyDescent="0.25">
      <c r="A24" s="82">
        <v>2034</v>
      </c>
      <c r="B24" s="91"/>
      <c r="C24" s="91"/>
      <c r="D24" s="91"/>
      <c r="E24" s="91"/>
      <c r="F24" s="91"/>
      <c r="G24" s="121"/>
      <c r="H24" s="183">
        <f t="shared" si="2"/>
        <v>0</v>
      </c>
      <c r="I24" s="191">
        <f t="shared" si="1"/>
        <v>0</v>
      </c>
      <c r="J24" s="80"/>
      <c r="K24" s="80"/>
      <c r="L24" s="80"/>
      <c r="M24" s="29"/>
    </row>
    <row r="25" spans="1:15" x14ac:dyDescent="0.25">
      <c r="A25" s="82">
        <v>2035</v>
      </c>
      <c r="B25" s="91"/>
      <c r="C25" s="91"/>
      <c r="D25" s="91"/>
      <c r="E25" s="91"/>
      <c r="F25" s="91"/>
      <c r="G25" s="121"/>
      <c r="H25" s="183">
        <f t="shared" si="2"/>
        <v>0</v>
      </c>
      <c r="I25" s="191">
        <f t="shared" si="1"/>
        <v>0</v>
      </c>
      <c r="J25" s="80"/>
      <c r="K25" s="80"/>
      <c r="L25" s="80"/>
      <c r="M25" s="29"/>
    </row>
    <row r="26" spans="1:15" x14ac:dyDescent="0.25">
      <c r="A26" s="82">
        <v>2036</v>
      </c>
      <c r="B26" s="91"/>
      <c r="C26" s="91"/>
      <c r="D26" s="91"/>
      <c r="E26" s="91"/>
      <c r="F26" s="91"/>
      <c r="G26" s="121"/>
      <c r="H26" s="183">
        <f t="shared" si="2"/>
        <v>0</v>
      </c>
      <c r="I26" s="191">
        <f t="shared" si="1"/>
        <v>0</v>
      </c>
      <c r="J26" s="80"/>
      <c r="K26" s="80"/>
      <c r="L26" s="80"/>
      <c r="M26" s="29"/>
    </row>
    <row r="27" spans="1:15" x14ac:dyDescent="0.25">
      <c r="A27" s="82">
        <v>2037</v>
      </c>
      <c r="B27" s="91"/>
      <c r="C27" s="91"/>
      <c r="D27" s="91"/>
      <c r="E27" s="91"/>
      <c r="F27" s="91"/>
      <c r="G27" s="121"/>
      <c r="H27" s="183">
        <f t="shared" si="2"/>
        <v>0</v>
      </c>
      <c r="I27" s="191">
        <f t="shared" si="1"/>
        <v>0</v>
      </c>
      <c r="J27" s="80"/>
      <c r="K27" s="80"/>
      <c r="L27" s="80"/>
      <c r="M27" s="29"/>
    </row>
    <row r="28" spans="1:15" x14ac:dyDescent="0.25">
      <c r="A28" s="82">
        <v>2038</v>
      </c>
      <c r="B28" s="91"/>
      <c r="C28" s="91"/>
      <c r="D28" s="91"/>
      <c r="E28" s="91"/>
      <c r="F28" s="91"/>
      <c r="G28" s="121"/>
      <c r="H28" s="183">
        <f t="shared" si="2"/>
        <v>0</v>
      </c>
      <c r="I28" s="191">
        <f t="shared" si="1"/>
        <v>0</v>
      </c>
      <c r="J28" s="80"/>
      <c r="K28" s="80"/>
      <c r="L28" s="80"/>
      <c r="M28" s="29"/>
    </row>
    <row r="29" spans="1:15" x14ac:dyDescent="0.25">
      <c r="A29" s="82">
        <v>2039</v>
      </c>
      <c r="B29" s="91"/>
      <c r="C29" s="91"/>
      <c r="D29" s="91"/>
      <c r="E29" s="91"/>
      <c r="F29" s="91"/>
      <c r="G29" s="121"/>
      <c r="H29" s="183">
        <f t="shared" si="2"/>
        <v>0</v>
      </c>
      <c r="I29" s="191">
        <f t="shared" si="1"/>
        <v>0</v>
      </c>
      <c r="J29" s="80"/>
      <c r="K29" s="80"/>
      <c r="L29" s="80"/>
      <c r="M29" s="29"/>
    </row>
    <row r="30" spans="1:15" x14ac:dyDescent="0.25">
      <c r="A30" s="82">
        <v>2040</v>
      </c>
      <c r="B30" s="91"/>
      <c r="C30" s="91"/>
      <c r="D30" s="91"/>
      <c r="E30" s="91"/>
      <c r="F30" s="91"/>
      <c r="G30" s="121"/>
      <c r="H30" s="183">
        <f t="shared" si="2"/>
        <v>0</v>
      </c>
      <c r="I30" s="191">
        <f t="shared" si="1"/>
        <v>0</v>
      </c>
      <c r="J30" s="80"/>
      <c r="K30" s="80"/>
      <c r="L30" s="80"/>
      <c r="M30" s="29"/>
    </row>
    <row r="31" spans="1:15" x14ac:dyDescent="0.25">
      <c r="A31" s="82">
        <v>2041</v>
      </c>
      <c r="B31" s="91"/>
      <c r="C31" s="91"/>
      <c r="D31" s="91"/>
      <c r="E31" s="91"/>
      <c r="F31" s="91"/>
      <c r="G31" s="121"/>
      <c r="H31" s="183">
        <f t="shared" si="2"/>
        <v>0</v>
      </c>
      <c r="I31" s="191">
        <f t="shared" si="1"/>
        <v>0</v>
      </c>
      <c r="J31" s="80"/>
      <c r="K31" s="80"/>
      <c r="L31" s="80"/>
      <c r="M31" s="29"/>
    </row>
    <row r="32" spans="1:15" x14ac:dyDescent="0.25">
      <c r="A32" s="82">
        <v>2042</v>
      </c>
      <c r="B32" s="91"/>
      <c r="C32" s="91"/>
      <c r="D32" s="91"/>
      <c r="E32" s="91"/>
      <c r="F32" s="91"/>
      <c r="G32" s="121"/>
      <c r="H32" s="183">
        <f t="shared" si="2"/>
        <v>0</v>
      </c>
      <c r="I32" s="191">
        <f t="shared" si="1"/>
        <v>0</v>
      </c>
      <c r="J32" s="80"/>
      <c r="K32" s="80"/>
      <c r="L32" s="80"/>
      <c r="M32" s="29"/>
    </row>
    <row r="33" spans="1:13" x14ac:dyDescent="0.25">
      <c r="A33" s="82">
        <v>2043</v>
      </c>
      <c r="B33" s="91"/>
      <c r="C33" s="91"/>
      <c r="D33" s="91"/>
      <c r="E33" s="91"/>
      <c r="F33" s="91"/>
      <c r="G33" s="121"/>
      <c r="H33" s="183">
        <f t="shared" si="2"/>
        <v>0</v>
      </c>
      <c r="I33" s="191">
        <f t="shared" si="1"/>
        <v>0</v>
      </c>
      <c r="J33" s="80"/>
      <c r="K33" s="80"/>
      <c r="L33" s="80"/>
      <c r="M33" s="29"/>
    </row>
    <row r="34" spans="1:13" x14ac:dyDescent="0.25">
      <c r="A34" s="82">
        <v>2044</v>
      </c>
      <c r="B34" s="91"/>
      <c r="C34" s="91"/>
      <c r="D34" s="91"/>
      <c r="E34" s="91"/>
      <c r="F34" s="91"/>
      <c r="G34" s="121"/>
      <c r="H34" s="183">
        <f t="shared" si="2"/>
        <v>0</v>
      </c>
      <c r="I34" s="191">
        <f t="shared" si="1"/>
        <v>0</v>
      </c>
      <c r="J34" s="80"/>
      <c r="K34" s="80"/>
      <c r="L34" s="80"/>
      <c r="M34" s="29"/>
    </row>
    <row r="35" spans="1:13" x14ac:dyDescent="0.25">
      <c r="A35" s="82">
        <v>2045</v>
      </c>
      <c r="B35" s="91"/>
      <c r="C35" s="91"/>
      <c r="D35" s="91"/>
      <c r="E35" s="91"/>
      <c r="F35" s="91"/>
      <c r="G35" s="121"/>
      <c r="H35" s="183">
        <f t="shared" si="2"/>
        <v>0</v>
      </c>
      <c r="I35" s="191">
        <f t="shared" si="1"/>
        <v>0</v>
      </c>
      <c r="J35" s="80"/>
      <c r="K35" s="80"/>
      <c r="L35" s="80"/>
      <c r="M35" s="29"/>
    </row>
    <row r="36" spans="1:13" x14ac:dyDescent="0.25">
      <c r="A36" s="82">
        <v>2046</v>
      </c>
      <c r="B36" s="91"/>
      <c r="C36" s="91"/>
      <c r="D36" s="91"/>
      <c r="E36" s="91"/>
      <c r="F36" s="91"/>
      <c r="G36" s="121"/>
      <c r="H36" s="183">
        <f t="shared" si="2"/>
        <v>0</v>
      </c>
      <c r="I36" s="191">
        <f t="shared" si="1"/>
        <v>0</v>
      </c>
      <c r="J36" s="80"/>
      <c r="K36" s="80"/>
      <c r="L36" s="80"/>
      <c r="M36" s="29"/>
    </row>
    <row r="37" spans="1:13" x14ac:dyDescent="0.25">
      <c r="A37" s="82">
        <v>2047</v>
      </c>
      <c r="B37" s="91"/>
      <c r="C37" s="91"/>
      <c r="D37" s="91"/>
      <c r="E37" s="91"/>
      <c r="F37" s="91"/>
      <c r="G37" s="121"/>
      <c r="H37" s="183">
        <f t="shared" si="2"/>
        <v>0</v>
      </c>
      <c r="I37" s="191">
        <f t="shared" si="1"/>
        <v>0</v>
      </c>
      <c r="J37" s="80"/>
      <c r="K37" s="80"/>
      <c r="L37" s="80"/>
      <c r="M37" s="29"/>
    </row>
    <row r="38" spans="1:13" x14ac:dyDescent="0.25">
      <c r="A38" s="82">
        <v>2048</v>
      </c>
      <c r="B38" s="91"/>
      <c r="C38" s="91"/>
      <c r="D38" s="91"/>
      <c r="E38" s="91"/>
      <c r="F38" s="91"/>
      <c r="G38" s="121"/>
      <c r="H38" s="183">
        <f t="shared" si="2"/>
        <v>0</v>
      </c>
      <c r="I38" s="191">
        <f t="shared" si="1"/>
        <v>0</v>
      </c>
      <c r="J38" s="80"/>
      <c r="K38" s="80"/>
      <c r="L38" s="80"/>
      <c r="M38" s="29"/>
    </row>
    <row r="39" spans="1:13" x14ac:dyDescent="0.25">
      <c r="A39" s="82">
        <v>2049</v>
      </c>
      <c r="B39" s="91"/>
      <c r="C39" s="91"/>
      <c r="D39" s="91"/>
      <c r="E39" s="91"/>
      <c r="F39" s="91"/>
      <c r="G39" s="121"/>
      <c r="H39" s="183">
        <f t="shared" si="2"/>
        <v>0</v>
      </c>
      <c r="I39" s="191">
        <f t="shared" si="1"/>
        <v>0</v>
      </c>
      <c r="J39" s="80"/>
      <c r="K39" s="80"/>
      <c r="L39" s="80"/>
      <c r="M39" s="29"/>
    </row>
    <row r="40" spans="1:13" x14ac:dyDescent="0.25">
      <c r="A40" s="82">
        <v>2050</v>
      </c>
      <c r="B40" s="91"/>
      <c r="C40" s="91"/>
      <c r="D40" s="91"/>
      <c r="E40" s="91"/>
      <c r="F40" s="91"/>
      <c r="G40" s="121"/>
      <c r="H40" s="183">
        <f t="shared" si="2"/>
        <v>0</v>
      </c>
      <c r="I40" s="191">
        <f t="shared" si="1"/>
        <v>0</v>
      </c>
      <c r="J40" s="80"/>
      <c r="K40" s="80"/>
      <c r="L40" s="80"/>
      <c r="M40" s="29"/>
    </row>
    <row r="41" spans="1:13" x14ac:dyDescent="0.25">
      <c r="A41" s="82">
        <v>2051</v>
      </c>
      <c r="B41" s="91"/>
      <c r="C41" s="91"/>
      <c r="D41" s="91"/>
      <c r="E41" s="91"/>
      <c r="F41" s="91"/>
      <c r="G41" s="121"/>
      <c r="H41" s="183">
        <f t="shared" si="2"/>
        <v>0</v>
      </c>
      <c r="I41" s="191">
        <f t="shared" si="1"/>
        <v>0</v>
      </c>
      <c r="J41" s="80"/>
      <c r="K41" s="80"/>
      <c r="L41" s="80"/>
      <c r="M41" s="29"/>
    </row>
    <row r="42" spans="1:13" x14ac:dyDescent="0.25">
      <c r="A42" s="82">
        <v>2052</v>
      </c>
      <c r="B42" s="91"/>
      <c r="C42" s="91"/>
      <c r="D42" s="91"/>
      <c r="E42" s="91"/>
      <c r="F42" s="91"/>
      <c r="G42" s="121"/>
      <c r="H42" s="183">
        <f t="shared" si="2"/>
        <v>0</v>
      </c>
      <c r="I42" s="191">
        <f t="shared" si="1"/>
        <v>0</v>
      </c>
      <c r="J42" s="80"/>
      <c r="K42" s="80"/>
      <c r="L42" s="80"/>
      <c r="M42" s="29"/>
    </row>
    <row r="43" spans="1:13" x14ac:dyDescent="0.25">
      <c r="A43" s="82">
        <v>2053</v>
      </c>
      <c r="B43" s="91"/>
      <c r="C43" s="91"/>
      <c r="D43" s="91"/>
      <c r="E43" s="91"/>
      <c r="F43" s="91"/>
      <c r="G43" s="121"/>
      <c r="H43" s="183">
        <f t="shared" si="2"/>
        <v>0</v>
      </c>
      <c r="I43" s="191">
        <f t="shared" si="1"/>
        <v>0</v>
      </c>
      <c r="J43" s="80"/>
      <c r="K43" s="80"/>
      <c r="L43" s="80"/>
      <c r="M43" s="29"/>
    </row>
    <row r="44" spans="1:13" x14ac:dyDescent="0.25">
      <c r="A44" s="82">
        <v>2054</v>
      </c>
      <c r="B44" s="91"/>
      <c r="C44" s="91"/>
      <c r="D44" s="91"/>
      <c r="E44" s="91"/>
      <c r="F44" s="91"/>
      <c r="G44" s="121"/>
      <c r="H44" s="183">
        <f t="shared" si="2"/>
        <v>0</v>
      </c>
      <c r="I44" s="191">
        <f t="shared" si="1"/>
        <v>0</v>
      </c>
      <c r="J44" s="80"/>
      <c r="K44" s="80"/>
      <c r="L44" s="80"/>
      <c r="M44" s="29"/>
    </row>
    <row r="45" spans="1:13" x14ac:dyDescent="0.25">
      <c r="A45" s="82">
        <v>2055</v>
      </c>
      <c r="B45" s="91"/>
      <c r="C45" s="91"/>
      <c r="D45" s="91"/>
      <c r="E45" s="91"/>
      <c r="F45" s="91"/>
      <c r="G45" s="121"/>
      <c r="H45" s="183">
        <f t="shared" si="2"/>
        <v>0</v>
      </c>
      <c r="I45" s="191">
        <f t="shared" si="1"/>
        <v>0</v>
      </c>
      <c r="J45" s="80"/>
      <c r="K45" s="80"/>
      <c r="L45" s="80"/>
      <c r="M45" s="29"/>
    </row>
    <row r="46" spans="1:13" x14ac:dyDescent="0.25">
      <c r="A46" s="82">
        <v>2056</v>
      </c>
      <c r="B46" s="91"/>
      <c r="C46" s="91"/>
      <c r="D46" s="91"/>
      <c r="E46" s="91"/>
      <c r="F46" s="91"/>
      <c r="G46" s="121"/>
      <c r="H46" s="183">
        <f t="shared" si="2"/>
        <v>0</v>
      </c>
      <c r="I46" s="191">
        <f t="shared" si="1"/>
        <v>0</v>
      </c>
      <c r="J46" s="80"/>
      <c r="K46" s="80"/>
      <c r="L46" s="80"/>
      <c r="M46" s="29"/>
    </row>
    <row r="47" spans="1:13" x14ac:dyDescent="0.25">
      <c r="A47" s="82">
        <v>2057</v>
      </c>
      <c r="B47" s="91"/>
      <c r="C47" s="91"/>
      <c r="D47" s="91"/>
      <c r="E47" s="91"/>
      <c r="F47" s="91"/>
      <c r="G47" s="121"/>
      <c r="H47" s="183">
        <f t="shared" si="2"/>
        <v>0</v>
      </c>
      <c r="I47" s="191">
        <f t="shared" si="1"/>
        <v>0</v>
      </c>
      <c r="J47" s="80"/>
      <c r="K47" s="80"/>
      <c r="L47" s="80"/>
      <c r="M47" s="29"/>
    </row>
    <row r="48" spans="1:13" ht="15.75" thickBot="1" x14ac:dyDescent="0.3">
      <c r="A48" s="83" t="s">
        <v>17</v>
      </c>
      <c r="B48" s="92"/>
      <c r="C48" s="92"/>
      <c r="D48" s="92">
        <f>SUM(D11:D47)</f>
        <v>0</v>
      </c>
      <c r="E48" s="92">
        <f t="shared" ref="E48:I48" si="3">SUM(E11:E47)</f>
        <v>990000</v>
      </c>
      <c r="F48" s="92">
        <f t="shared" si="3"/>
        <v>60297000</v>
      </c>
      <c r="G48" s="132"/>
      <c r="H48" s="184">
        <f t="shared" si="3"/>
        <v>61287000</v>
      </c>
      <c r="I48" s="192">
        <f t="shared" si="3"/>
        <v>51084453.758819424</v>
      </c>
      <c r="J48" s="80"/>
      <c r="K48" s="80"/>
      <c r="L48" s="80"/>
      <c r="M48" s="29"/>
    </row>
    <row r="49" spans="1:8" x14ac:dyDescent="0.25">
      <c r="A49" s="100" t="s">
        <v>20</v>
      </c>
      <c r="B49" s="31"/>
      <c r="C49" s="31"/>
      <c r="D49" s="31"/>
      <c r="E49" s="42"/>
      <c r="F49" s="43"/>
      <c r="G49" s="43"/>
      <c r="H49" s="43"/>
    </row>
    <row r="50" spans="1:8" x14ac:dyDescent="0.25">
      <c r="A50" s="77"/>
      <c r="E50" s="44"/>
      <c r="F50" s="45"/>
      <c r="G50" s="45"/>
      <c r="H50" s="45"/>
    </row>
    <row r="51" spans="1:8" x14ac:dyDescent="0.25">
      <c r="B51" s="31"/>
      <c r="C51" s="31"/>
      <c r="D51" s="31"/>
      <c r="E51" s="42"/>
      <c r="F51" s="43"/>
      <c r="G51" s="43"/>
      <c r="H51" s="43"/>
    </row>
    <row r="52" spans="1:8" ht="15.75" thickBot="1" x14ac:dyDescent="0.3">
      <c r="A52" s="57" t="s">
        <v>7</v>
      </c>
      <c r="B52" s="6"/>
      <c r="C52" s="6"/>
      <c r="D52" s="6"/>
    </row>
    <row r="53" spans="1:8" x14ac:dyDescent="0.25">
      <c r="A53" s="16" t="s">
        <v>12</v>
      </c>
      <c r="B53" s="94"/>
      <c r="C53" s="94"/>
      <c r="D53" s="94">
        <v>50</v>
      </c>
    </row>
    <row r="54" spans="1:8" x14ac:dyDescent="0.25">
      <c r="A54" s="17" t="s">
        <v>13</v>
      </c>
      <c r="B54" s="95"/>
      <c r="C54" s="95"/>
      <c r="D54" s="95">
        <v>30</v>
      </c>
    </row>
    <row r="55" spans="1:8" x14ac:dyDescent="0.25">
      <c r="A55" s="17" t="s">
        <v>126</v>
      </c>
      <c r="B55" s="96"/>
      <c r="C55" s="96"/>
      <c r="D55" s="96">
        <f>H10</f>
        <v>60061260</v>
      </c>
    </row>
    <row r="56" spans="1:8" x14ac:dyDescent="0.25">
      <c r="A56" s="17" t="s">
        <v>92</v>
      </c>
      <c r="B56" s="97"/>
      <c r="C56" s="97"/>
      <c r="D56" s="97">
        <f>D55*((D53-D54)/D53)</f>
        <v>24024504</v>
      </c>
      <c r="E56" s="6"/>
    </row>
    <row r="57" spans="1:8" ht="30.75" thickBot="1" x14ac:dyDescent="0.3">
      <c r="A57" s="98" t="s">
        <v>127</v>
      </c>
      <c r="B57" s="99"/>
      <c r="C57" s="99"/>
      <c r="D57" s="313">
        <f>D56*(1.07)^-D54</f>
        <v>3156029.8315489115</v>
      </c>
    </row>
    <row r="58" spans="1:8" x14ac:dyDescent="0.25">
      <c r="B58" s="31"/>
      <c r="C58" s="31"/>
      <c r="D58" s="31"/>
      <c r="E58" s="42"/>
      <c r="F58" s="43"/>
      <c r="G58" s="43"/>
      <c r="H58" s="43"/>
    </row>
    <row r="59" spans="1:8" x14ac:dyDescent="0.25">
      <c r="A59" s="19"/>
      <c r="B59" s="31"/>
      <c r="C59" s="31"/>
      <c r="D59" s="31"/>
      <c r="E59" s="42"/>
      <c r="F59" s="46"/>
      <c r="G59" s="46"/>
      <c r="H59" s="43"/>
    </row>
    <row r="60" spans="1:8" x14ac:dyDescent="0.25">
      <c r="B60" s="31"/>
      <c r="C60" s="31"/>
      <c r="D60" s="31"/>
      <c r="E60" s="42"/>
      <c r="F60" s="6"/>
      <c r="G60" s="6"/>
      <c r="H60" s="6"/>
    </row>
    <row r="61" spans="1:8" x14ac:dyDescent="0.25">
      <c r="B61" s="31"/>
      <c r="C61" s="31"/>
      <c r="D61" s="31"/>
      <c r="E61" s="42"/>
      <c r="F61" s="6"/>
      <c r="G61" s="6"/>
      <c r="H61" s="6"/>
    </row>
    <row r="62" spans="1:8" x14ac:dyDescent="0.25">
      <c r="A62" s="5"/>
      <c r="B62" s="32"/>
      <c r="C62" s="32"/>
      <c r="D62" s="32"/>
      <c r="E62" s="6"/>
      <c r="F62" s="6"/>
      <c r="G62" s="6"/>
      <c r="H62" s="6"/>
    </row>
    <row r="63" spans="1:8" x14ac:dyDescent="0.25">
      <c r="B63" s="31"/>
      <c r="C63" s="31"/>
      <c r="D63" s="31"/>
      <c r="E63" s="42"/>
      <c r="F63" s="6"/>
      <c r="G63" s="6"/>
      <c r="H63" s="6"/>
    </row>
    <row r="64" spans="1:8" x14ac:dyDescent="0.25">
      <c r="B64" s="33"/>
      <c r="C64" s="33"/>
      <c r="D64" s="33"/>
      <c r="E64" s="6"/>
      <c r="F64" s="47"/>
      <c r="G64" s="47"/>
      <c r="H64" s="6"/>
    </row>
    <row r="65" spans="1:8" x14ac:dyDescent="0.25">
      <c r="B65" s="33"/>
      <c r="C65" s="33"/>
      <c r="D65" s="33"/>
      <c r="F65" s="35"/>
      <c r="G65" s="35"/>
      <c r="H65" s="15"/>
    </row>
    <row r="66" spans="1:8" x14ac:dyDescent="0.25">
      <c r="B66" s="33"/>
      <c r="C66" s="33"/>
      <c r="D66" s="33"/>
      <c r="F66" s="34"/>
      <c r="G66" s="34"/>
    </row>
    <row r="67" spans="1:8" x14ac:dyDescent="0.25">
      <c r="B67" s="33"/>
      <c r="C67" s="33"/>
      <c r="D67" s="33"/>
      <c r="F67" s="34"/>
      <c r="G67" s="34"/>
    </row>
    <row r="68" spans="1:8" x14ac:dyDescent="0.25">
      <c r="B68" s="33"/>
      <c r="C68" s="33"/>
      <c r="D68" s="33"/>
      <c r="F68" s="31"/>
      <c r="G68" s="31"/>
    </row>
    <row r="69" spans="1:8" x14ac:dyDescent="0.25">
      <c r="B69" s="33"/>
      <c r="C69" s="33"/>
      <c r="D69" s="33"/>
      <c r="F69" s="31"/>
      <c r="G69" s="31"/>
    </row>
    <row r="70" spans="1:8" x14ac:dyDescent="0.25">
      <c r="B70" s="33"/>
      <c r="C70" s="33"/>
      <c r="D70" s="33"/>
      <c r="F70" s="31"/>
      <c r="G70" s="31"/>
    </row>
    <row r="71" spans="1:8" x14ac:dyDescent="0.25">
      <c r="B71" s="33"/>
      <c r="C71" s="33"/>
      <c r="D71" s="33"/>
      <c r="F71" s="36"/>
      <c r="G71" s="36"/>
    </row>
    <row r="72" spans="1:8" x14ac:dyDescent="0.25">
      <c r="B72" s="33"/>
      <c r="C72" s="33"/>
      <c r="D72" s="33"/>
      <c r="F72" s="36"/>
      <c r="G72" s="36"/>
    </row>
    <row r="73" spans="1:8" x14ac:dyDescent="0.25">
      <c r="E73" s="15"/>
    </row>
    <row r="74" spans="1:8" x14ac:dyDescent="0.25">
      <c r="A74" s="33"/>
      <c r="B74" s="37"/>
      <c r="C74" s="37"/>
      <c r="D74" s="37"/>
      <c r="E74" s="38"/>
      <c r="F74" s="37"/>
      <c r="G74" s="37"/>
    </row>
    <row r="75" spans="1:8" x14ac:dyDescent="0.25">
      <c r="A75" s="33"/>
      <c r="B75" s="37"/>
      <c r="C75" s="37"/>
      <c r="D75" s="37"/>
      <c r="E75" s="38"/>
      <c r="F75" s="37"/>
      <c r="G75" s="37"/>
    </row>
    <row r="76" spans="1:8" x14ac:dyDescent="0.25">
      <c r="A76" s="33"/>
      <c r="B76" s="37"/>
      <c r="C76" s="37"/>
      <c r="D76" s="37"/>
      <c r="E76" s="38"/>
      <c r="F76" s="37"/>
      <c r="G76" s="37"/>
    </row>
    <row r="77" spans="1:8" x14ac:dyDescent="0.25">
      <c r="A77" s="33"/>
      <c r="B77" s="37"/>
      <c r="C77" s="37"/>
      <c r="D77" s="37"/>
      <c r="E77" s="38"/>
      <c r="F77" s="37"/>
      <c r="G77" s="37"/>
    </row>
    <row r="78" spans="1:8" x14ac:dyDescent="0.25">
      <c r="A78" s="33"/>
      <c r="E78" s="15"/>
      <c r="F78" s="37"/>
      <c r="G78" s="37"/>
    </row>
    <row r="79" spans="1:8" x14ac:dyDescent="0.25">
      <c r="A79" s="33"/>
      <c r="B79" s="31"/>
      <c r="C79" s="31"/>
      <c r="D79" s="31"/>
    </row>
    <row r="80" spans="1:8" x14ac:dyDescent="0.25">
      <c r="A80" s="39"/>
    </row>
    <row r="81" spans="1:8" x14ac:dyDescent="0.25">
      <c r="A81" s="39"/>
      <c r="B81" s="236"/>
      <c r="C81" s="236"/>
      <c r="D81" s="59"/>
      <c r="E81" s="59"/>
      <c r="F81" s="59"/>
      <c r="G81" s="236"/>
      <c r="H81" s="59"/>
    </row>
    <row r="82" spans="1:8" x14ac:dyDescent="0.25">
      <c r="A82" s="33"/>
      <c r="B82" s="41"/>
      <c r="C82" s="41"/>
      <c r="D82" s="41"/>
      <c r="E82" s="41"/>
      <c r="F82" s="41"/>
      <c r="G82" s="41"/>
      <c r="H82" s="41"/>
    </row>
    <row r="83" spans="1:8" x14ac:dyDescent="0.25">
      <c r="A83" s="33"/>
      <c r="B83" s="41"/>
      <c r="C83" s="41"/>
      <c r="D83" s="41"/>
      <c r="E83" s="41"/>
      <c r="F83" s="41"/>
      <c r="G83" s="41"/>
      <c r="H83" s="41"/>
    </row>
    <row r="84" spans="1:8" x14ac:dyDescent="0.25">
      <c r="A84" s="33"/>
      <c r="B84" s="40"/>
      <c r="C84" s="40"/>
      <c r="D84" s="40"/>
      <c r="E84" s="40"/>
      <c r="F84" s="40"/>
      <c r="G84" s="40"/>
      <c r="H84" s="40"/>
    </row>
    <row r="85" spans="1:8" x14ac:dyDescent="0.25">
      <c r="A85" s="33"/>
      <c r="B85" s="40"/>
      <c r="C85" s="40"/>
      <c r="D85" s="40"/>
      <c r="E85" s="40"/>
      <c r="F85" s="40"/>
      <c r="G85" s="40"/>
      <c r="H85" s="40"/>
    </row>
    <row r="86" spans="1:8" x14ac:dyDescent="0.25">
      <c r="A86" s="33"/>
      <c r="B86" s="40"/>
      <c r="C86" s="40"/>
      <c r="D86" s="40"/>
      <c r="E86" s="40"/>
      <c r="F86" s="40"/>
      <c r="G86" s="40"/>
      <c r="H86" s="40"/>
    </row>
    <row r="87" spans="1:8" x14ac:dyDescent="0.25">
      <c r="A87" s="33"/>
      <c r="B87" s="40"/>
      <c r="C87" s="40"/>
      <c r="D87" s="40"/>
      <c r="E87" s="40"/>
      <c r="F87" s="40"/>
      <c r="G87" s="40"/>
      <c r="H87" s="40"/>
    </row>
    <row r="88" spans="1:8" x14ac:dyDescent="0.25">
      <c r="A88" s="33"/>
      <c r="B88" s="40"/>
      <c r="C88" s="40"/>
      <c r="D88" s="40"/>
      <c r="E88" s="40"/>
      <c r="F88" s="40"/>
      <c r="G88" s="40"/>
      <c r="H88" s="40"/>
    </row>
    <row r="89" spans="1:8" x14ac:dyDescent="0.25">
      <c r="A89" s="33"/>
      <c r="B89" s="40"/>
      <c r="C89" s="40"/>
      <c r="D89" s="40"/>
      <c r="E89" s="40"/>
      <c r="F89" s="40"/>
      <c r="G89" s="40"/>
      <c r="H89" s="40"/>
    </row>
    <row r="90" spans="1:8" x14ac:dyDescent="0.25">
      <c r="A90" s="33"/>
      <c r="B90" s="40"/>
      <c r="C90" s="40"/>
      <c r="D90" s="40"/>
      <c r="E90" s="40"/>
      <c r="F90" s="40"/>
      <c r="G90" s="40"/>
      <c r="H90" s="40"/>
    </row>
    <row r="91" spans="1:8" x14ac:dyDescent="0.25">
      <c r="A91" s="33"/>
      <c r="B91" s="40"/>
      <c r="C91" s="40"/>
      <c r="D91" s="40"/>
      <c r="E91" s="40"/>
      <c r="F91" s="40"/>
      <c r="G91" s="40"/>
      <c r="H91" s="40"/>
    </row>
    <row r="92" spans="1:8" x14ac:dyDescent="0.25">
      <c r="A92" s="33"/>
      <c r="B92" s="40"/>
      <c r="C92" s="40"/>
      <c r="D92" s="40"/>
      <c r="E92" s="40"/>
      <c r="F92" s="40"/>
      <c r="G92" s="40"/>
      <c r="H92" s="40"/>
    </row>
    <row r="93" spans="1:8" x14ac:dyDescent="0.25">
      <c r="A93" s="33"/>
      <c r="B93" s="40"/>
      <c r="C93" s="40"/>
      <c r="D93" s="40"/>
      <c r="E93" s="40"/>
      <c r="F93" s="40"/>
      <c r="G93" s="40"/>
      <c r="H93" s="40"/>
    </row>
    <row r="94" spans="1:8" x14ac:dyDescent="0.25">
      <c r="A94" s="33"/>
      <c r="B94" s="40"/>
      <c r="C94" s="40"/>
      <c r="D94" s="40"/>
      <c r="E94" s="40"/>
      <c r="F94" s="40"/>
      <c r="G94" s="40"/>
      <c r="H94" s="40"/>
    </row>
    <row r="95" spans="1:8" x14ac:dyDescent="0.25">
      <c r="A95" s="33"/>
      <c r="B95" s="40"/>
      <c r="C95" s="40"/>
      <c r="D95" s="40"/>
      <c r="E95" s="40"/>
      <c r="F95" s="40"/>
      <c r="G95" s="40"/>
      <c r="H95" s="40"/>
    </row>
    <row r="96" spans="1:8" x14ac:dyDescent="0.25">
      <c r="A96" s="33"/>
      <c r="B96" s="40"/>
      <c r="C96" s="40"/>
      <c r="D96" s="40"/>
      <c r="E96" s="40"/>
      <c r="F96" s="40"/>
      <c r="G96" s="40"/>
      <c r="H96" s="40"/>
    </row>
  </sheetData>
  <pageMargins left="0.7" right="0.7" top="0.75" bottom="0.75" header="0.3" footer="0.3"/>
  <pageSetup scale="62" orientation="landscape" horizontalDpi="300" verticalDpi="300" r:id="rId1"/>
  <headerFooter>
    <oddHeader>&amp;LBCA Analysis&amp;CIron Horse - Ped and Bike Improvements</oddHeader>
    <oddFooter>&amp;RPage 2 of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B241-5B03-41C0-8283-202BA15B4DAB}">
  <sheetPr>
    <tabColor theme="0" tint="-0.499984740745262"/>
    <pageSetUpPr fitToPage="1"/>
  </sheetPr>
  <dimension ref="A1:Z92"/>
  <sheetViews>
    <sheetView zoomScale="70" zoomScaleNormal="70" workbookViewId="0">
      <selection activeCell="D13" sqref="D13"/>
    </sheetView>
  </sheetViews>
  <sheetFormatPr defaultColWidth="9.140625" defaultRowHeight="15" x14ac:dyDescent="0.25"/>
  <cols>
    <col min="1" max="1" width="16.140625" style="53" customWidth="1"/>
    <col min="2" max="2" width="14.5703125" style="53" customWidth="1"/>
    <col min="3" max="3" width="12.85546875" style="53" customWidth="1"/>
    <col min="4" max="4" width="48.140625" style="53" bestFit="1" customWidth="1"/>
    <col min="5" max="5" width="19.5703125" style="53" customWidth="1"/>
    <col min="6" max="6" width="40" style="53" bestFit="1" customWidth="1"/>
    <col min="7" max="7" width="17.140625" style="53" customWidth="1"/>
    <col min="8" max="8" width="12.7109375" style="53" bestFit="1" customWidth="1"/>
    <col min="9" max="10" width="9.140625" style="53"/>
    <col min="11" max="11" width="9.140625" style="22"/>
    <col min="12" max="12" width="20.7109375" style="22" bestFit="1" customWidth="1"/>
    <col min="13" max="13" width="17.42578125" style="22" bestFit="1" customWidth="1"/>
    <col min="14" max="14" width="14.85546875" style="22" bestFit="1" customWidth="1"/>
    <col min="15" max="26" width="9.140625" style="22"/>
    <col min="27" max="16384" width="9.140625" style="53"/>
  </cols>
  <sheetData>
    <row r="1" spans="1:20" ht="18.75" x14ac:dyDescent="0.3">
      <c r="A1" s="76" t="s">
        <v>93</v>
      </c>
    </row>
    <row r="2" spans="1:20" ht="15.75" thickBot="1" x14ac:dyDescent="0.3">
      <c r="L2" s="7"/>
    </row>
    <row r="3" spans="1:20" x14ac:dyDescent="0.25">
      <c r="A3" s="330" t="s">
        <v>1</v>
      </c>
      <c r="B3" s="332" t="s">
        <v>2</v>
      </c>
      <c r="C3" s="332" t="s">
        <v>21</v>
      </c>
      <c r="D3" s="336" t="s">
        <v>128</v>
      </c>
      <c r="E3" s="336" t="s">
        <v>100</v>
      </c>
      <c r="F3" s="334" t="s">
        <v>99</v>
      </c>
      <c r="M3" s="161"/>
      <c r="N3" s="161"/>
      <c r="O3" s="161"/>
      <c r="P3" s="161"/>
      <c r="Q3" s="161"/>
      <c r="S3" s="7"/>
    </row>
    <row r="4" spans="1:20" ht="29.25" customHeight="1" x14ac:dyDescent="0.25">
      <c r="A4" s="331"/>
      <c r="B4" s="333"/>
      <c r="C4" s="333"/>
      <c r="D4" s="337"/>
      <c r="E4" s="337"/>
      <c r="F4" s="335"/>
      <c r="R4" s="162"/>
      <c r="T4" s="163"/>
    </row>
    <row r="5" spans="1:20" x14ac:dyDescent="0.25">
      <c r="A5" s="108">
        <v>2021</v>
      </c>
      <c r="B5" s="103">
        <v>0</v>
      </c>
      <c r="C5" s="103">
        <v>1</v>
      </c>
      <c r="D5" s="107"/>
      <c r="E5" s="170">
        <f>D5/(1.07^($A5-$A$5))</f>
        <v>0</v>
      </c>
      <c r="F5" s="167"/>
    </row>
    <row r="6" spans="1:20" x14ac:dyDescent="0.25">
      <c r="A6" s="108">
        <v>2022</v>
      </c>
      <c r="B6" s="103">
        <v>0</v>
      </c>
      <c r="C6" s="103">
        <v>2</v>
      </c>
      <c r="D6" s="107"/>
      <c r="E6" s="120">
        <f>D6/(1.07^($A6-$A$5))</f>
        <v>0</v>
      </c>
      <c r="F6" s="167"/>
      <c r="S6" s="7"/>
      <c r="T6" s="164"/>
    </row>
    <row r="7" spans="1:20" x14ac:dyDescent="0.25">
      <c r="A7" s="108">
        <v>2023</v>
      </c>
      <c r="B7" s="103">
        <v>0</v>
      </c>
      <c r="C7" s="103">
        <v>3</v>
      </c>
      <c r="D7" s="107"/>
      <c r="E7" s="120">
        <f t="shared" ref="E7:E41" si="0">D7/(1.07^($A7-$A$5))</f>
        <v>0</v>
      </c>
      <c r="F7" s="167"/>
    </row>
    <row r="8" spans="1:20" x14ac:dyDescent="0.25">
      <c r="A8" s="108">
        <v>2024</v>
      </c>
      <c r="B8" s="103">
        <v>0</v>
      </c>
      <c r="C8" s="103">
        <v>4</v>
      </c>
      <c r="D8" s="107"/>
      <c r="E8" s="120">
        <f t="shared" si="0"/>
        <v>0</v>
      </c>
      <c r="F8" s="167"/>
    </row>
    <row r="9" spans="1:20" x14ac:dyDescent="0.25">
      <c r="A9" s="108">
        <v>2025</v>
      </c>
      <c r="B9" s="103">
        <v>0</v>
      </c>
      <c r="C9" s="103">
        <v>5</v>
      </c>
      <c r="D9" s="107"/>
      <c r="E9" s="120">
        <f t="shared" si="0"/>
        <v>0</v>
      </c>
      <c r="F9" s="167"/>
    </row>
    <row r="10" spans="1:20" x14ac:dyDescent="0.25">
      <c r="A10" s="110">
        <v>2026</v>
      </c>
      <c r="B10" s="104">
        <v>1</v>
      </c>
      <c r="C10" s="104">
        <v>6</v>
      </c>
      <c r="D10" s="141"/>
      <c r="E10" s="156">
        <f t="shared" si="0"/>
        <v>0</v>
      </c>
      <c r="F10" s="68"/>
      <c r="M10" s="160"/>
      <c r="S10" s="165"/>
    </row>
    <row r="11" spans="1:20" x14ac:dyDescent="0.25">
      <c r="A11" s="112">
        <v>2027</v>
      </c>
      <c r="B11" s="105">
        <v>2</v>
      </c>
      <c r="C11" s="105">
        <v>7</v>
      </c>
      <c r="D11" s="93"/>
      <c r="E11" s="157">
        <f t="shared" si="0"/>
        <v>0</v>
      </c>
      <c r="F11" s="58"/>
      <c r="J11" s="54"/>
      <c r="M11" s="160"/>
      <c r="N11" s="160"/>
      <c r="O11" s="160"/>
      <c r="P11" s="160"/>
    </row>
    <row r="12" spans="1:20" x14ac:dyDescent="0.25">
      <c r="A12" s="112">
        <v>2028</v>
      </c>
      <c r="B12" s="105">
        <v>3</v>
      </c>
      <c r="C12" s="105">
        <v>8</v>
      </c>
      <c r="D12" s="93">
        <v>29000</v>
      </c>
      <c r="E12" s="157">
        <f t="shared" si="0"/>
        <v>18059.742514653142</v>
      </c>
      <c r="F12" s="58" t="s">
        <v>268</v>
      </c>
      <c r="G12" s="53" t="s">
        <v>27</v>
      </c>
      <c r="L12" s="162"/>
      <c r="N12" s="160"/>
      <c r="O12" s="160"/>
      <c r="P12" s="160"/>
    </row>
    <row r="13" spans="1:20" x14ac:dyDescent="0.25">
      <c r="A13" s="114">
        <v>2029</v>
      </c>
      <c r="B13" s="106">
        <v>4</v>
      </c>
      <c r="C13" s="106">
        <v>9</v>
      </c>
      <c r="D13" s="91">
        <f t="shared" ref="D13:D21" si="1">D$12*(1.05^($A12-$A$12))</f>
        <v>29000</v>
      </c>
      <c r="E13" s="121">
        <f t="shared" si="0"/>
        <v>16878.264032386116</v>
      </c>
      <c r="F13" s="13" t="s">
        <v>268</v>
      </c>
      <c r="N13" s="160"/>
      <c r="O13" s="160"/>
      <c r="P13" s="160"/>
    </row>
    <row r="14" spans="1:20" x14ac:dyDescent="0.25">
      <c r="A14" s="112">
        <v>2030</v>
      </c>
      <c r="B14" s="106">
        <v>5</v>
      </c>
      <c r="C14" s="106">
        <v>10</v>
      </c>
      <c r="D14" s="91">
        <f t="shared" si="1"/>
        <v>30450</v>
      </c>
      <c r="E14" s="121">
        <f t="shared" si="0"/>
        <v>16562.782461687308</v>
      </c>
      <c r="F14" s="13" t="s">
        <v>268</v>
      </c>
      <c r="M14" s="23"/>
      <c r="N14" s="160"/>
      <c r="O14" s="160"/>
      <c r="P14" s="160"/>
    </row>
    <row r="15" spans="1:20" x14ac:dyDescent="0.25">
      <c r="A15" s="114">
        <v>2031</v>
      </c>
      <c r="B15" s="105">
        <v>6</v>
      </c>
      <c r="C15" s="106">
        <v>11</v>
      </c>
      <c r="D15" s="91">
        <f t="shared" si="1"/>
        <v>31972.5</v>
      </c>
      <c r="E15" s="121">
        <f t="shared" si="0"/>
        <v>16253.197742777265</v>
      </c>
      <c r="F15" s="13" t="s">
        <v>268</v>
      </c>
    </row>
    <row r="16" spans="1:20" x14ac:dyDescent="0.25">
      <c r="A16" s="112">
        <v>2032</v>
      </c>
      <c r="B16" s="106">
        <v>7</v>
      </c>
      <c r="C16" s="106">
        <v>12</v>
      </c>
      <c r="D16" s="91">
        <f>D$12*(1.05^($A15-$A$12))</f>
        <v>33571.125000000007</v>
      </c>
      <c r="E16" s="121">
        <f t="shared" si="0"/>
        <v>15949.399654127224</v>
      </c>
      <c r="F16" s="13" t="s">
        <v>268</v>
      </c>
      <c r="Q16" s="7"/>
      <c r="R16" s="162"/>
      <c r="S16" s="23"/>
    </row>
    <row r="17" spans="1:17" x14ac:dyDescent="0.25">
      <c r="A17" s="114">
        <v>2033</v>
      </c>
      <c r="B17" s="106">
        <v>8</v>
      </c>
      <c r="C17" s="106">
        <v>13</v>
      </c>
      <c r="D17" s="91">
        <f t="shared" si="1"/>
        <v>35249.681250000001</v>
      </c>
      <c r="E17" s="121">
        <f t="shared" si="0"/>
        <v>15651.280034423911</v>
      </c>
      <c r="F17" s="13" t="s">
        <v>268</v>
      </c>
      <c r="Q17" s="7"/>
    </row>
    <row r="18" spans="1:17" x14ac:dyDescent="0.25">
      <c r="A18" s="112">
        <v>2034</v>
      </c>
      <c r="B18" s="105">
        <v>9</v>
      </c>
      <c r="C18" s="106">
        <v>14</v>
      </c>
      <c r="D18" s="91">
        <f t="shared" si="1"/>
        <v>37012.165312500001</v>
      </c>
      <c r="E18" s="121">
        <f t="shared" si="0"/>
        <v>15358.732744060846</v>
      </c>
      <c r="F18" s="13" t="s">
        <v>268</v>
      </c>
      <c r="Q18" s="7"/>
    </row>
    <row r="19" spans="1:17" x14ac:dyDescent="0.25">
      <c r="A19" s="114">
        <v>2035</v>
      </c>
      <c r="B19" s="106">
        <v>10</v>
      </c>
      <c r="C19" s="106">
        <v>15</v>
      </c>
      <c r="D19" s="91">
        <f t="shared" si="1"/>
        <v>38862.773578125001</v>
      </c>
      <c r="E19" s="121">
        <f>D19/(1.07^($A19-$A$5))</f>
        <v>15071.653627349429</v>
      </c>
      <c r="F19" s="53" t="s">
        <v>268</v>
      </c>
      <c r="L19" s="162"/>
      <c r="M19" s="23"/>
    </row>
    <row r="20" spans="1:17" x14ac:dyDescent="0.25">
      <c r="A20" s="112">
        <v>2036</v>
      </c>
      <c r="B20" s="106">
        <v>11</v>
      </c>
      <c r="C20" s="106">
        <v>16</v>
      </c>
      <c r="D20" s="91">
        <f>D$12*(1.05^($A19-$A$12))</f>
        <v>40805.912257031254</v>
      </c>
      <c r="E20" s="121">
        <f t="shared" si="0"/>
        <v>14789.940475436355</v>
      </c>
      <c r="F20" s="13" t="s">
        <v>268</v>
      </c>
    </row>
    <row r="21" spans="1:17" x14ac:dyDescent="0.25">
      <c r="A21" s="114">
        <v>2037</v>
      </c>
      <c r="B21" s="105">
        <v>12</v>
      </c>
      <c r="C21" s="106">
        <v>17</v>
      </c>
      <c r="D21" s="91">
        <f t="shared" si="1"/>
        <v>42846.207869882812</v>
      </c>
      <c r="E21" s="121">
        <f t="shared" si="0"/>
        <v>14513.492989914181</v>
      </c>
      <c r="F21" s="13" t="s">
        <v>268</v>
      </c>
    </row>
    <row r="22" spans="1:17" x14ac:dyDescent="0.25">
      <c r="A22" s="112">
        <v>2038</v>
      </c>
      <c r="B22" s="106">
        <v>13</v>
      </c>
      <c r="C22" s="106">
        <v>18</v>
      </c>
      <c r="D22" s="91">
        <f>0.0125*'Project Cost'!F10*(1.05^($A22-$A$12))</f>
        <v>1203163.8765572926</v>
      </c>
      <c r="E22" s="121">
        <f t="shared" si="0"/>
        <v>380890.87084956077</v>
      </c>
      <c r="F22" s="13" t="s">
        <v>276</v>
      </c>
    </row>
    <row r="23" spans="1:17" x14ac:dyDescent="0.25">
      <c r="A23" s="114">
        <v>2039</v>
      </c>
      <c r="B23" s="106">
        <v>14</v>
      </c>
      <c r="C23" s="106">
        <v>19</v>
      </c>
      <c r="D23" s="91">
        <f t="shared" ref="D23:D31" si="2">D$12*(1.05^($A22-$A$12))</f>
        <v>47237.944176545803</v>
      </c>
      <c r="E23" s="121">
        <f t="shared" si="0"/>
        <v>13976.003163053878</v>
      </c>
      <c r="F23" s="13" t="s">
        <v>268</v>
      </c>
    </row>
    <row r="24" spans="1:17" x14ac:dyDescent="0.25">
      <c r="A24" s="112">
        <v>2040</v>
      </c>
      <c r="B24" s="105">
        <v>15</v>
      </c>
      <c r="C24" s="106">
        <v>20</v>
      </c>
      <c r="D24" s="91">
        <f t="shared" si="2"/>
        <v>49599.841385373096</v>
      </c>
      <c r="E24" s="121">
        <f t="shared" si="0"/>
        <v>13714.769459071562</v>
      </c>
      <c r="F24" s="13" t="s">
        <v>268</v>
      </c>
    </row>
    <row r="25" spans="1:17" x14ac:dyDescent="0.25">
      <c r="A25" s="114">
        <v>2041</v>
      </c>
      <c r="B25" s="106">
        <v>16</v>
      </c>
      <c r="C25" s="106">
        <v>21</v>
      </c>
      <c r="D25" s="91">
        <f t="shared" si="2"/>
        <v>52079.833454641746</v>
      </c>
      <c r="E25" s="121">
        <f t="shared" si="0"/>
        <v>13458.418628060879</v>
      </c>
      <c r="F25" s="13" t="s">
        <v>268</v>
      </c>
    </row>
    <row r="26" spans="1:17" x14ac:dyDescent="0.25">
      <c r="A26" s="112">
        <v>2042</v>
      </c>
      <c r="B26" s="106">
        <v>17</v>
      </c>
      <c r="C26" s="106">
        <v>22</v>
      </c>
      <c r="D26" s="91">
        <f t="shared" si="2"/>
        <v>54683.825127373842</v>
      </c>
      <c r="E26" s="121">
        <f t="shared" si="0"/>
        <v>13206.859401368154</v>
      </c>
      <c r="F26" s="13" t="s">
        <v>268</v>
      </c>
    </row>
    <row r="27" spans="1:17" x14ac:dyDescent="0.25">
      <c r="A27" s="114">
        <v>2043</v>
      </c>
      <c r="B27" s="105">
        <v>18</v>
      </c>
      <c r="C27" s="106">
        <v>23</v>
      </c>
      <c r="D27" s="91">
        <f t="shared" si="2"/>
        <v>57418.016383742521</v>
      </c>
      <c r="E27" s="121">
        <f t="shared" si="0"/>
        <v>12960.002216295848</v>
      </c>
      <c r="F27" s="13" t="s">
        <v>268</v>
      </c>
    </row>
    <row r="28" spans="1:17" x14ac:dyDescent="0.25">
      <c r="A28" s="112">
        <v>2044</v>
      </c>
      <c r="B28" s="106">
        <v>19</v>
      </c>
      <c r="C28" s="106">
        <v>24</v>
      </c>
      <c r="D28" s="91">
        <f t="shared" si="2"/>
        <v>60288.917202929668</v>
      </c>
      <c r="E28" s="121">
        <f t="shared" si="0"/>
        <v>12717.759184215556</v>
      </c>
      <c r="F28" s="13" t="s">
        <v>268</v>
      </c>
    </row>
    <row r="29" spans="1:17" x14ac:dyDescent="0.25">
      <c r="A29" s="114">
        <v>2045</v>
      </c>
      <c r="B29" s="106">
        <v>20</v>
      </c>
      <c r="C29" s="106">
        <v>25</v>
      </c>
      <c r="D29" s="91">
        <f t="shared" si="2"/>
        <v>63303.363063076147</v>
      </c>
      <c r="E29" s="121">
        <f t="shared" si="0"/>
        <v>12480.044059276946</v>
      </c>
      <c r="F29" s="53" t="s">
        <v>268</v>
      </c>
    </row>
    <row r="30" spans="1:17" x14ac:dyDescent="0.25">
      <c r="A30" s="110">
        <v>2046</v>
      </c>
      <c r="B30" s="110">
        <v>21</v>
      </c>
      <c r="C30" s="104">
        <v>26</v>
      </c>
      <c r="D30" s="141">
        <f t="shared" si="2"/>
        <v>66468.531216229967</v>
      </c>
      <c r="E30" s="156">
        <f t="shared" si="0"/>
        <v>12246.772207701679</v>
      </c>
      <c r="F30" s="68" t="s">
        <v>268</v>
      </c>
      <c r="I30" s="55"/>
    </row>
    <row r="31" spans="1:17" x14ac:dyDescent="0.25">
      <c r="A31" s="112">
        <v>2047</v>
      </c>
      <c r="B31" s="106">
        <v>22</v>
      </c>
      <c r="C31" s="106">
        <v>27</v>
      </c>
      <c r="D31" s="91">
        <f t="shared" si="2"/>
        <v>69791.957777041462</v>
      </c>
      <c r="E31" s="121">
        <f t="shared" si="0"/>
        <v>12017.860577651179</v>
      </c>
      <c r="F31" s="13" t="s">
        <v>268</v>
      </c>
      <c r="I31" s="55"/>
    </row>
    <row r="32" spans="1:17" x14ac:dyDescent="0.25">
      <c r="A32" s="112">
        <v>2048</v>
      </c>
      <c r="B32" s="106">
        <v>23</v>
      </c>
      <c r="C32" s="106">
        <v>28</v>
      </c>
      <c r="D32" s="91">
        <f>D22*(1.05^($A32-$A$22))</f>
        <v>1959827.1736568911</v>
      </c>
      <c r="E32" s="121">
        <f t="shared" si="0"/>
        <v>315395.70690192818</v>
      </c>
      <c r="F32" s="13" t="s">
        <v>276</v>
      </c>
      <c r="I32" s="55"/>
    </row>
    <row r="33" spans="1:26" x14ac:dyDescent="0.25">
      <c r="A33" s="114">
        <v>2049</v>
      </c>
      <c r="B33" s="105">
        <v>24</v>
      </c>
      <c r="C33" s="106">
        <v>29</v>
      </c>
      <c r="D33" s="91">
        <f>D$12*(1.05^($A32-$A$12))</f>
        <v>76945.633449188201</v>
      </c>
      <c r="E33" s="121">
        <f t="shared" si="0"/>
        <v>11572.793507608021</v>
      </c>
      <c r="F33" s="13" t="s">
        <v>268</v>
      </c>
      <c r="I33" s="55"/>
    </row>
    <row r="34" spans="1:26" x14ac:dyDescent="0.25">
      <c r="A34" s="112">
        <v>2050</v>
      </c>
      <c r="B34" s="106">
        <v>25</v>
      </c>
      <c r="C34" s="106">
        <v>30</v>
      </c>
      <c r="D34" s="91">
        <f t="shared" ref="D34:D41" si="3">D$12*(1.05^($A33-$A$12))</f>
        <v>80792.915121647617</v>
      </c>
      <c r="E34" s="121">
        <f t="shared" si="0"/>
        <v>11356.479610269555</v>
      </c>
      <c r="F34" s="13" t="s">
        <v>268</v>
      </c>
      <c r="I34" s="55"/>
    </row>
    <row r="35" spans="1:26" x14ac:dyDescent="0.25">
      <c r="A35" s="114">
        <v>2051</v>
      </c>
      <c r="B35" s="106">
        <v>26</v>
      </c>
      <c r="C35" s="106">
        <v>31</v>
      </c>
      <c r="D35" s="91">
        <f t="shared" si="3"/>
        <v>84832.560877729993</v>
      </c>
      <c r="E35" s="121">
        <f t="shared" si="0"/>
        <v>11144.208963348628</v>
      </c>
      <c r="F35" s="13" t="s">
        <v>268</v>
      </c>
      <c r="I35" s="55"/>
    </row>
    <row r="36" spans="1:26" x14ac:dyDescent="0.25">
      <c r="A36" s="112">
        <v>2052</v>
      </c>
      <c r="B36" s="105">
        <v>27</v>
      </c>
      <c r="C36" s="106">
        <v>32</v>
      </c>
      <c r="D36" s="91">
        <f t="shared" si="3"/>
        <v>89074.1889216165</v>
      </c>
      <c r="E36" s="121">
        <f t="shared" si="0"/>
        <v>10935.905992071082</v>
      </c>
      <c r="F36" s="13" t="s">
        <v>268</v>
      </c>
      <c r="I36" s="55"/>
    </row>
    <row r="37" spans="1:26" x14ac:dyDescent="0.25">
      <c r="A37" s="114">
        <v>2053</v>
      </c>
      <c r="B37" s="106">
        <v>28</v>
      </c>
      <c r="C37" s="106">
        <v>33</v>
      </c>
      <c r="D37" s="91">
        <f t="shared" si="3"/>
        <v>93527.898367697315</v>
      </c>
      <c r="E37" s="121">
        <f t="shared" si="0"/>
        <v>10731.496534275362</v>
      </c>
      <c r="F37" s="13" t="s">
        <v>268</v>
      </c>
      <c r="I37" s="55"/>
      <c r="L37" s="11"/>
      <c r="M37" s="11"/>
      <c r="N37" s="11"/>
    </row>
    <row r="38" spans="1:26" x14ac:dyDescent="0.25">
      <c r="A38" s="112">
        <v>2054</v>
      </c>
      <c r="B38" s="106">
        <v>29</v>
      </c>
      <c r="C38" s="106">
        <v>34</v>
      </c>
      <c r="D38" s="91">
        <f t="shared" si="3"/>
        <v>98204.293286082189</v>
      </c>
      <c r="E38" s="121">
        <f t="shared" si="0"/>
        <v>10530.907814008533</v>
      </c>
      <c r="F38" s="13" t="s">
        <v>268</v>
      </c>
      <c r="I38" s="55"/>
      <c r="L38" s="11"/>
      <c r="M38" s="11"/>
      <c r="N38" s="11"/>
    </row>
    <row r="39" spans="1:26" x14ac:dyDescent="0.25">
      <c r="A39" s="114">
        <v>2055</v>
      </c>
      <c r="B39" s="105">
        <v>30</v>
      </c>
      <c r="C39" s="106">
        <v>35</v>
      </c>
      <c r="D39" s="91">
        <f t="shared" si="3"/>
        <v>103114.50795038629</v>
      </c>
      <c r="E39" s="121">
        <f t="shared" si="0"/>
        <v>10334.06841561585</v>
      </c>
      <c r="F39" s="13" t="s">
        <v>268</v>
      </c>
      <c r="I39" s="55"/>
      <c r="N39" s="11"/>
    </row>
    <row r="40" spans="1:26" x14ac:dyDescent="0.25">
      <c r="A40" s="112">
        <v>2056</v>
      </c>
      <c r="B40" s="106">
        <v>31</v>
      </c>
      <c r="C40" s="106">
        <v>36</v>
      </c>
      <c r="D40" s="91">
        <f>D$12*(1.05^($A39-$A$12))</f>
        <v>108270.23334790563</v>
      </c>
      <c r="E40" s="121">
        <f t="shared" si="0"/>
        <v>10140.908258314619</v>
      </c>
      <c r="F40" s="53" t="s">
        <v>268</v>
      </c>
      <c r="I40" s="55"/>
      <c r="N40" s="11"/>
    </row>
    <row r="41" spans="1:26" ht="15.75" thickBot="1" x14ac:dyDescent="0.3">
      <c r="A41" s="116">
        <v>2057</v>
      </c>
      <c r="B41" s="106">
        <v>32</v>
      </c>
      <c r="C41" s="117">
        <v>37</v>
      </c>
      <c r="D41" s="92">
        <f t="shared" si="3"/>
        <v>113683.7450153009</v>
      </c>
      <c r="E41" s="132">
        <f t="shared" si="0"/>
        <v>9951.3585712433178</v>
      </c>
      <c r="F41" s="65" t="s">
        <v>268</v>
      </c>
      <c r="G41" s="53" t="s">
        <v>96</v>
      </c>
      <c r="I41" s="55"/>
      <c r="N41" s="11"/>
    </row>
    <row r="42" spans="1:26" s="6" customFormat="1" x14ac:dyDescent="0.25">
      <c r="A42" s="51"/>
      <c r="B42" s="51"/>
      <c r="C42" s="51"/>
      <c r="D42" s="230">
        <f>SUM(D5:D41)</f>
        <v>4881079.6216062317</v>
      </c>
      <c r="E42" s="29">
        <f>SUM(E5:E41)</f>
        <v>1068851.6805917553</v>
      </c>
      <c r="F42" s="22"/>
      <c r="I42" s="158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s="6" customFormat="1" x14ac:dyDescent="0.25">
      <c r="A43" s="22"/>
      <c r="B43" s="51"/>
      <c r="C43" s="166"/>
      <c r="D43" s="22"/>
      <c r="E43" s="22"/>
      <c r="F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s="6" customFormat="1" x14ac:dyDescent="0.25">
      <c r="C44" s="159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s="6" customFormat="1" x14ac:dyDescent="0.25">
      <c r="C45" s="159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s="6" customFormat="1" x14ac:dyDescent="0.25">
      <c r="C46" s="159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s="6" customFormat="1" ht="15.75" customHeight="1" x14ac:dyDescent="0.25">
      <c r="C47" s="159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s="6" customFormat="1" x14ac:dyDescent="0.25">
      <c r="C48" s="159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3:26" s="6" customFormat="1" x14ac:dyDescent="0.25">
      <c r="C49" s="159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3:26" s="6" customFormat="1" x14ac:dyDescent="0.25">
      <c r="C50" s="159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3:26" s="6" customFormat="1" x14ac:dyDescent="0.25">
      <c r="C51" s="159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3:26" s="6" customFormat="1" x14ac:dyDescent="0.25">
      <c r="C52" s="159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3:26" s="6" customFormat="1" x14ac:dyDescent="0.25">
      <c r="C53" s="159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3:26" s="6" customFormat="1" x14ac:dyDescent="0.25">
      <c r="C54" s="159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3:26" s="6" customFormat="1" x14ac:dyDescent="0.25">
      <c r="C55" s="159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3:26" s="6" customFormat="1" x14ac:dyDescent="0.25">
      <c r="C56" s="159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3:26" s="6" customFormat="1" x14ac:dyDescent="0.25">
      <c r="C57" s="159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3:26" s="6" customFormat="1" x14ac:dyDescent="0.25">
      <c r="C58" s="159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3:26" s="6" customFormat="1" x14ac:dyDescent="0.25">
      <c r="C59" s="159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3:26" s="6" customFormat="1" x14ac:dyDescent="0.25">
      <c r="C60" s="159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3:26" s="6" customFormat="1" x14ac:dyDescent="0.25">
      <c r="C61" s="159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3:26" s="6" customFormat="1" x14ac:dyDescent="0.25">
      <c r="C62" s="159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3:26" s="6" customFormat="1" x14ac:dyDescent="0.25">
      <c r="C63" s="159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3:26" s="6" customFormat="1" x14ac:dyDescent="0.25">
      <c r="C64" s="159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6:7" x14ac:dyDescent="0.25">
      <c r="G65" s="4"/>
    </row>
    <row r="66" spans="6:7" x14ac:dyDescent="0.25">
      <c r="G66" s="4"/>
    </row>
    <row r="68" spans="6:7" x14ac:dyDescent="0.25">
      <c r="F68" s="21"/>
    </row>
    <row r="69" spans="6:7" x14ac:dyDescent="0.25">
      <c r="F69" s="56"/>
    </row>
    <row r="70" spans="6:7" x14ac:dyDescent="0.25">
      <c r="F70" s="55"/>
    </row>
    <row r="71" spans="6:7" x14ac:dyDescent="0.25">
      <c r="F71" s="55"/>
    </row>
    <row r="72" spans="6:7" x14ac:dyDescent="0.25">
      <c r="F72" s="55"/>
    </row>
    <row r="73" spans="6:7" x14ac:dyDescent="0.25">
      <c r="F73" s="55"/>
    </row>
    <row r="74" spans="6:7" x14ac:dyDescent="0.25">
      <c r="F74" s="55"/>
    </row>
    <row r="75" spans="6:7" x14ac:dyDescent="0.25">
      <c r="F75" s="55"/>
    </row>
    <row r="76" spans="6:7" x14ac:dyDescent="0.25">
      <c r="F76" s="55"/>
    </row>
    <row r="77" spans="6:7" x14ac:dyDescent="0.25">
      <c r="F77" s="55"/>
    </row>
    <row r="78" spans="6:7" x14ac:dyDescent="0.25">
      <c r="F78" s="55"/>
    </row>
    <row r="79" spans="6:7" x14ac:dyDescent="0.25">
      <c r="F79" s="55"/>
    </row>
    <row r="80" spans="6:7" x14ac:dyDescent="0.25">
      <c r="F80" s="55"/>
    </row>
    <row r="81" spans="6:6" x14ac:dyDescent="0.25">
      <c r="F81" s="55"/>
    </row>
    <row r="82" spans="6:6" x14ac:dyDescent="0.25">
      <c r="F82" s="55"/>
    </row>
    <row r="83" spans="6:6" x14ac:dyDescent="0.25">
      <c r="F83" s="55"/>
    </row>
    <row r="84" spans="6:6" x14ac:dyDescent="0.25">
      <c r="F84" s="55"/>
    </row>
    <row r="85" spans="6:6" x14ac:dyDescent="0.25">
      <c r="F85" s="55"/>
    </row>
    <row r="86" spans="6:6" x14ac:dyDescent="0.25">
      <c r="F86" s="55"/>
    </row>
    <row r="87" spans="6:6" x14ac:dyDescent="0.25">
      <c r="F87" s="55"/>
    </row>
    <row r="88" spans="6:6" x14ac:dyDescent="0.25">
      <c r="F88" s="55"/>
    </row>
    <row r="89" spans="6:6" x14ac:dyDescent="0.25">
      <c r="F89" s="55"/>
    </row>
    <row r="90" spans="6:6" x14ac:dyDescent="0.25">
      <c r="F90" s="55"/>
    </row>
    <row r="91" spans="6:6" x14ac:dyDescent="0.25">
      <c r="F91" s="55"/>
    </row>
    <row r="92" spans="6:6" x14ac:dyDescent="0.25">
      <c r="F92" s="55"/>
    </row>
  </sheetData>
  <mergeCells count="6">
    <mergeCell ref="A3:A4"/>
    <mergeCell ref="B3:B4"/>
    <mergeCell ref="C3:C4"/>
    <mergeCell ref="F3:F4"/>
    <mergeCell ref="E3:E4"/>
    <mergeCell ref="D3:D4"/>
  </mergeCells>
  <pageMargins left="0.7" right="0.7" top="0.75" bottom="0.75" header="0.3" footer="0.3"/>
  <pageSetup scale="74" orientation="landscape" horizontalDpi="300" verticalDpi="300" r:id="rId1"/>
  <headerFooter>
    <oddHeader>&amp;LBCA Analysis&amp;CIron Horse - Ped and Bike Improvements</oddHeader>
    <oddFooter>&amp;RPage 3 of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5E802-8135-4470-B218-0B5C0CF74973}">
  <sheetPr>
    <tabColor theme="6" tint="-0.249977111117893"/>
    <pageSetUpPr fitToPage="1"/>
  </sheetPr>
  <dimension ref="A1:N69"/>
  <sheetViews>
    <sheetView topLeftCell="A10" zoomScale="80" zoomScaleNormal="80" workbookViewId="0">
      <selection activeCell="I12" sqref="I12"/>
    </sheetView>
  </sheetViews>
  <sheetFormatPr defaultColWidth="8.85546875" defaultRowHeight="15" x14ac:dyDescent="0.25"/>
  <cols>
    <col min="1" max="1" width="12.85546875" style="53" customWidth="1"/>
    <col min="2" max="3" width="10.7109375" style="53" customWidth="1"/>
    <col min="4" max="4" width="20.5703125" style="53" bestFit="1" customWidth="1"/>
    <col min="5" max="5" width="21" style="53" bestFit="1" customWidth="1"/>
    <col min="6" max="6" width="16.42578125" style="53" bestFit="1" customWidth="1"/>
    <col min="7" max="7" width="20.5703125" style="53" bestFit="1" customWidth="1"/>
    <col min="8" max="8" width="21" style="53" bestFit="1" customWidth="1"/>
    <col min="9" max="9" width="16.42578125" style="53" bestFit="1" customWidth="1"/>
    <col min="10" max="12" width="17.140625" style="53" customWidth="1"/>
    <col min="13" max="13" width="12.7109375" style="53" bestFit="1" customWidth="1"/>
    <col min="14" max="16384" width="8.85546875" style="53"/>
  </cols>
  <sheetData>
    <row r="1" spans="1:14" ht="18.75" x14ac:dyDescent="0.3">
      <c r="A1" s="76" t="s">
        <v>261</v>
      </c>
    </row>
    <row r="2" spans="1:14" ht="15.75" thickBot="1" x14ac:dyDescent="0.3"/>
    <row r="3" spans="1:14" ht="48.75" customHeight="1" x14ac:dyDescent="0.25">
      <c r="A3" s="330" t="s">
        <v>1</v>
      </c>
      <c r="B3" s="332" t="s">
        <v>2</v>
      </c>
      <c r="C3" s="346" t="s">
        <v>21</v>
      </c>
      <c r="D3" s="340" t="s">
        <v>264</v>
      </c>
      <c r="E3" s="341"/>
      <c r="F3" s="342"/>
      <c r="G3" s="340" t="s">
        <v>265</v>
      </c>
      <c r="H3" s="341"/>
      <c r="I3" s="342"/>
      <c r="J3" s="341" t="s">
        <v>262</v>
      </c>
      <c r="K3" s="338" t="s">
        <v>263</v>
      </c>
      <c r="L3" s="27"/>
    </row>
    <row r="4" spans="1:14" ht="28.5" customHeight="1" thickBot="1" x14ac:dyDescent="0.3">
      <c r="A4" s="344"/>
      <c r="B4" s="345"/>
      <c r="C4" s="347"/>
      <c r="D4" s="30" t="str">
        <f>G4</f>
        <v>PED INFRASTRUCTURE</v>
      </c>
      <c r="E4" s="314" t="str">
        <f t="shared" ref="E4:F4" si="0">H4</f>
        <v>BIKE INFRASTRUCTURE</v>
      </c>
      <c r="F4" s="50" t="str">
        <f t="shared" si="0"/>
        <v>HEALTH BENEFITS</v>
      </c>
      <c r="G4" s="30" t="str">
        <f>'GAP CLOSURE'!A12</f>
        <v>PED INFRASTRUCTURE</v>
      </c>
      <c r="H4" s="314" t="str">
        <f>'GAP CLOSURE'!A17</f>
        <v>BIKE INFRASTRUCTURE</v>
      </c>
      <c r="I4" s="50" t="str">
        <f>'GAP CLOSURE'!A24</f>
        <v>HEALTH BENEFITS</v>
      </c>
      <c r="J4" s="343"/>
      <c r="K4" s="339"/>
      <c r="L4" s="27"/>
      <c r="M4" s="20"/>
      <c r="N4" s="20"/>
    </row>
    <row r="5" spans="1:14" x14ac:dyDescent="0.25">
      <c r="A5" s="133">
        <v>2021</v>
      </c>
      <c r="B5" s="134">
        <v>0</v>
      </c>
      <c r="C5" s="135">
        <v>1</v>
      </c>
      <c r="D5" s="138"/>
      <c r="E5" s="171"/>
      <c r="F5" s="139"/>
      <c r="G5" s="138"/>
      <c r="H5" s="171"/>
      <c r="I5" s="139"/>
      <c r="J5" s="171">
        <f>SUM(G5:I5)</f>
        <v>0</v>
      </c>
      <c r="K5" s="177">
        <f>J5/(1.07^($A5-$A$5))</f>
        <v>0</v>
      </c>
      <c r="L5" s="20"/>
    </row>
    <row r="6" spans="1:14" x14ac:dyDescent="0.25">
      <c r="A6" s="108">
        <v>2022</v>
      </c>
      <c r="B6" s="103">
        <v>0</v>
      </c>
      <c r="C6" s="109">
        <v>2</v>
      </c>
      <c r="D6" s="122"/>
      <c r="E6" s="172"/>
      <c r="F6" s="123"/>
      <c r="G6" s="122"/>
      <c r="H6" s="172"/>
      <c r="I6" s="123"/>
      <c r="J6" s="172">
        <f t="shared" ref="J6:J41" si="1">SUM(G6:I6)</f>
        <v>0</v>
      </c>
      <c r="K6" s="177">
        <f t="shared" ref="K6:K41" si="2">J6/(1.07^($A6-$A$5))</f>
        <v>0</v>
      </c>
      <c r="L6" s="20"/>
    </row>
    <row r="7" spans="1:14" x14ac:dyDescent="0.25">
      <c r="A7" s="108">
        <v>2023</v>
      </c>
      <c r="B7" s="103">
        <v>0</v>
      </c>
      <c r="C7" s="109">
        <v>3</v>
      </c>
      <c r="D7" s="122"/>
      <c r="E7" s="172"/>
      <c r="F7" s="123"/>
      <c r="G7" s="122"/>
      <c r="H7" s="172"/>
      <c r="I7" s="123"/>
      <c r="J7" s="172">
        <f t="shared" si="1"/>
        <v>0</v>
      </c>
      <c r="K7" s="177">
        <f t="shared" si="2"/>
        <v>0</v>
      </c>
    </row>
    <row r="8" spans="1:14" x14ac:dyDescent="0.25">
      <c r="A8" s="108">
        <v>2024</v>
      </c>
      <c r="B8" s="103">
        <v>0</v>
      </c>
      <c r="C8" s="109">
        <v>4</v>
      </c>
      <c r="D8" s="122"/>
      <c r="E8" s="172"/>
      <c r="F8" s="123"/>
      <c r="G8" s="122"/>
      <c r="H8" s="172"/>
      <c r="I8" s="123"/>
      <c r="J8" s="172">
        <f t="shared" si="1"/>
        <v>0</v>
      </c>
      <c r="K8" s="177">
        <f t="shared" si="2"/>
        <v>0</v>
      </c>
      <c r="L8" s="25"/>
      <c r="N8" s="20"/>
    </row>
    <row r="9" spans="1:14" x14ac:dyDescent="0.25">
      <c r="A9" s="108">
        <v>2025</v>
      </c>
      <c r="B9" s="103">
        <v>0</v>
      </c>
      <c r="C9" s="109">
        <v>5</v>
      </c>
      <c r="D9" s="122"/>
      <c r="E9" s="172"/>
      <c r="F9" s="123"/>
      <c r="G9" s="122"/>
      <c r="H9" s="172"/>
      <c r="I9" s="123"/>
      <c r="J9" s="172">
        <f t="shared" si="1"/>
        <v>0</v>
      </c>
      <c r="K9" s="177">
        <f t="shared" si="2"/>
        <v>0</v>
      </c>
      <c r="L9" s="25"/>
      <c r="M9" s="3"/>
      <c r="N9" s="20"/>
    </row>
    <row r="10" spans="1:14" x14ac:dyDescent="0.25">
      <c r="A10" s="108">
        <v>2026</v>
      </c>
      <c r="B10" s="103">
        <v>0</v>
      </c>
      <c r="C10" s="109">
        <v>6</v>
      </c>
      <c r="D10" s="122"/>
      <c r="E10" s="172"/>
      <c r="F10" s="123"/>
      <c r="G10" s="122"/>
      <c r="H10" s="172"/>
      <c r="I10" s="123"/>
      <c r="J10" s="172">
        <f t="shared" si="1"/>
        <v>0</v>
      </c>
      <c r="K10" s="177">
        <f t="shared" si="2"/>
        <v>0</v>
      </c>
      <c r="L10" s="25"/>
      <c r="M10" s="3"/>
      <c r="N10" s="20"/>
    </row>
    <row r="11" spans="1:14" x14ac:dyDescent="0.25">
      <c r="A11" s="110">
        <v>2027</v>
      </c>
      <c r="B11" s="104">
        <v>1</v>
      </c>
      <c r="C11" s="111">
        <v>7</v>
      </c>
      <c r="D11" s="124">
        <f>SUM('GAP CLOSURE'!F13:F15)</f>
        <v>8007680.0000000009</v>
      </c>
      <c r="E11" s="173">
        <f>SUM('GAP CLOSURE'!F18:F22)</f>
        <v>609751.03999999992</v>
      </c>
      <c r="F11" s="125">
        <f>SUM('GAP CLOSURE'!F25:F26)</f>
        <v>832319.99999999988</v>
      </c>
      <c r="G11" s="124">
        <f>SUM(XING!F17:F19)</f>
        <v>17487360</v>
      </c>
      <c r="H11" s="173">
        <f>SUM(XING!F22:F26)</f>
        <v>772548.48</v>
      </c>
      <c r="I11" s="125">
        <f>SUM(XING!F29:F30)</f>
        <v>1071200</v>
      </c>
      <c r="J11" s="173">
        <f>SUM(D11:I11)</f>
        <v>28780859.52</v>
      </c>
      <c r="K11" s="178">
        <f t="shared" si="2"/>
        <v>19177901.935907446</v>
      </c>
      <c r="L11" s="20" t="s">
        <v>27</v>
      </c>
      <c r="M11" s="3"/>
      <c r="N11" s="20"/>
    </row>
    <row r="12" spans="1:14" x14ac:dyDescent="0.25">
      <c r="A12" s="112">
        <v>2028</v>
      </c>
      <c r="B12" s="105">
        <v>2</v>
      </c>
      <c r="C12" s="113">
        <v>8</v>
      </c>
      <c r="D12" s="126">
        <f>D$11*(CatchmentAreaPopulation!$B4/CatchmentAreaPopulation!$B$3)</f>
        <v>8014353.0666666664</v>
      </c>
      <c r="E12" s="174">
        <f>E$11*(CatchmentAreaPopulation!$B4/CatchmentAreaPopulation!$B$3)</f>
        <v>610259.16586666647</v>
      </c>
      <c r="F12" s="127">
        <f>F$11*(CatchmentAreaPopulation!$B4/CatchmentAreaPopulation!$B$3)</f>
        <v>833013.59999999986</v>
      </c>
      <c r="G12" s="126">
        <f>G$11*(CatchmentAreaPopulation!$B4/CatchmentAreaPopulation!$B$3)</f>
        <v>17501932.799999997</v>
      </c>
      <c r="H12" s="174">
        <f>H$11*(CatchmentAreaPopulation!$B4/CatchmentAreaPopulation!$B$3)</f>
        <v>773192.27039999992</v>
      </c>
      <c r="I12" s="127">
        <f>I$11*(CatchmentAreaPopulation!$B4/CatchmentAreaPopulation!$B$3)</f>
        <v>1072092.6666666665</v>
      </c>
      <c r="J12" s="174">
        <f t="shared" si="1"/>
        <v>19347217.737066664</v>
      </c>
      <c r="K12" s="179">
        <f t="shared" si="2"/>
        <v>12048474.851943247</v>
      </c>
      <c r="L12" s="25"/>
      <c r="M12" s="3"/>
      <c r="N12" s="20"/>
    </row>
    <row r="13" spans="1:14" x14ac:dyDescent="0.25">
      <c r="A13" s="114">
        <v>2029</v>
      </c>
      <c r="B13" s="106">
        <v>3</v>
      </c>
      <c r="C13" s="115">
        <v>9</v>
      </c>
      <c r="D13" s="128">
        <f>D$11*(CatchmentAreaPopulation!$B5/CatchmentAreaPopulation!$B$3)</f>
        <v>8021026.1333333347</v>
      </c>
      <c r="E13" s="315">
        <f>E$11*(CatchmentAreaPopulation!$B5/CatchmentAreaPopulation!$B$3)</f>
        <v>610767.29173333326</v>
      </c>
      <c r="F13" s="129">
        <f>F$11*(CatchmentAreaPopulation!$B5/CatchmentAreaPopulation!$B$3)</f>
        <v>833707.2</v>
      </c>
      <c r="G13" s="128">
        <f>G$11*(CatchmentAreaPopulation!$B5/CatchmentAreaPopulation!$B$3)</f>
        <v>17516505.600000001</v>
      </c>
      <c r="H13" s="315">
        <f>H$11*(CatchmentAreaPopulation!$B5/CatchmentAreaPopulation!$B$3)</f>
        <v>773836.06079999998</v>
      </c>
      <c r="I13" s="129">
        <f>I$11*(CatchmentAreaPopulation!$B5/CatchmentAreaPopulation!$B$3)</f>
        <v>1072985.3333333335</v>
      </c>
      <c r="J13" s="175">
        <f t="shared" si="1"/>
        <v>19363326.994133335</v>
      </c>
      <c r="K13" s="180">
        <f t="shared" si="2"/>
        <v>11269632.60525558</v>
      </c>
      <c r="L13" s="25"/>
      <c r="M13" s="3"/>
      <c r="N13" s="20"/>
    </row>
    <row r="14" spans="1:14" x14ac:dyDescent="0.25">
      <c r="A14" s="112">
        <v>2030</v>
      </c>
      <c r="B14" s="106">
        <v>4</v>
      </c>
      <c r="C14" s="115">
        <v>10</v>
      </c>
      <c r="D14" s="128">
        <f>D$11*(CatchmentAreaPopulation!$B6/CatchmentAreaPopulation!$B$3)</f>
        <v>8027699.2000000002</v>
      </c>
      <c r="E14" s="315">
        <f>E$11*(CatchmentAreaPopulation!$B6/CatchmentAreaPopulation!$B$3)</f>
        <v>611275.41759999993</v>
      </c>
      <c r="F14" s="129">
        <f>F$11*(CatchmentAreaPopulation!$B6/CatchmentAreaPopulation!$B$3)</f>
        <v>834400.79999999981</v>
      </c>
      <c r="G14" s="128">
        <f>G$11*(CatchmentAreaPopulation!$B6/CatchmentAreaPopulation!$B$3)</f>
        <v>17531078.399999999</v>
      </c>
      <c r="H14" s="315">
        <f>H$11*(CatchmentAreaPopulation!$B6/CatchmentAreaPopulation!$B$3)</f>
        <v>774479.85119999992</v>
      </c>
      <c r="I14" s="129">
        <f>I$11*(CatchmentAreaPopulation!$B6/CatchmentAreaPopulation!$B$3)</f>
        <v>1073878</v>
      </c>
      <c r="J14" s="175">
        <f t="shared" si="1"/>
        <v>19379436.251199998</v>
      </c>
      <c r="K14" s="180">
        <f t="shared" si="2"/>
        <v>10541129.289286125</v>
      </c>
      <c r="L14" s="25"/>
      <c r="M14" s="3"/>
      <c r="N14" s="20"/>
    </row>
    <row r="15" spans="1:14" x14ac:dyDescent="0.25">
      <c r="A15" s="114">
        <v>2031</v>
      </c>
      <c r="B15" s="106">
        <v>5</v>
      </c>
      <c r="C15" s="115">
        <v>11</v>
      </c>
      <c r="D15" s="128">
        <f>D$11*(CatchmentAreaPopulation!$B7/CatchmentAreaPopulation!$B$3)</f>
        <v>8034372.2666666685</v>
      </c>
      <c r="E15" s="315">
        <f>E$11*(CatchmentAreaPopulation!$B7/CatchmentAreaPopulation!$B$3)</f>
        <v>611783.5434666666</v>
      </c>
      <c r="F15" s="129">
        <f>F$11*(CatchmentAreaPopulation!$B7/CatchmentAreaPopulation!$B$3)</f>
        <v>835094.39999999991</v>
      </c>
      <c r="G15" s="128">
        <f>G$11*(CatchmentAreaPopulation!$B7/CatchmentAreaPopulation!$B$3)</f>
        <v>17545651.200000003</v>
      </c>
      <c r="H15" s="315">
        <f>H$11*(CatchmentAreaPopulation!$B7/CatchmentAreaPopulation!$B$3)</f>
        <v>775123.64160000009</v>
      </c>
      <c r="I15" s="129">
        <f>I$11*(CatchmentAreaPopulation!$B7/CatchmentAreaPopulation!$B$3)</f>
        <v>1074770.6666666667</v>
      </c>
      <c r="J15" s="175">
        <f t="shared" si="1"/>
        <v>19395545.508266672</v>
      </c>
      <c r="K15" s="180">
        <f t="shared" si="2"/>
        <v>9859711.8296940681</v>
      </c>
      <c r="L15" s="25"/>
      <c r="M15" s="3"/>
      <c r="N15" s="20"/>
    </row>
    <row r="16" spans="1:14" x14ac:dyDescent="0.25">
      <c r="A16" s="112">
        <v>2032</v>
      </c>
      <c r="B16" s="106">
        <v>6</v>
      </c>
      <c r="C16" s="115">
        <v>12</v>
      </c>
      <c r="D16" s="128">
        <f>D$11*(CatchmentAreaPopulation!$B8/CatchmentAreaPopulation!$B$3)</f>
        <v>8041045.333333334</v>
      </c>
      <c r="E16" s="315">
        <f>E$11*(CatchmentAreaPopulation!$B8/CatchmentAreaPopulation!$B$3)</f>
        <v>612291.66933333327</v>
      </c>
      <c r="F16" s="129">
        <f>F$11*(CatchmentAreaPopulation!$B8/CatchmentAreaPopulation!$B$3)</f>
        <v>835787.99999999988</v>
      </c>
      <c r="G16" s="128">
        <f>G$11*(CatchmentAreaPopulation!$B8/CatchmentAreaPopulation!$B$3)</f>
        <v>17560224</v>
      </c>
      <c r="H16" s="315">
        <f>H$11*(CatchmentAreaPopulation!$B8/CatchmentAreaPopulation!$B$3)</f>
        <v>775767.43199999991</v>
      </c>
      <c r="I16" s="129">
        <f>I$11*(CatchmentAreaPopulation!$B8/CatchmentAreaPopulation!$B$3)</f>
        <v>1075663.3333333333</v>
      </c>
      <c r="J16" s="175">
        <f t="shared" si="1"/>
        <v>19411654.765333332</v>
      </c>
      <c r="K16" s="180">
        <f t="shared" si="2"/>
        <v>9222337.3449726347</v>
      </c>
      <c r="L16" s="25"/>
      <c r="M16" s="3"/>
      <c r="N16" s="20"/>
    </row>
    <row r="17" spans="1:14" x14ac:dyDescent="0.25">
      <c r="A17" s="114">
        <v>2033</v>
      </c>
      <c r="B17" s="106">
        <v>7</v>
      </c>
      <c r="C17" s="115">
        <v>13</v>
      </c>
      <c r="D17" s="128">
        <f>D$11*(CatchmentAreaPopulation!$B9/CatchmentAreaPopulation!$B$3)</f>
        <v>8047718.4000000004</v>
      </c>
      <c r="E17" s="315">
        <f>E$11*(CatchmentAreaPopulation!$B9/CatchmentAreaPopulation!$B$3)</f>
        <v>612799.79519999982</v>
      </c>
      <c r="F17" s="129">
        <f>F$11*(CatchmentAreaPopulation!$B9/CatchmentAreaPopulation!$B$3)</f>
        <v>836481.59999999974</v>
      </c>
      <c r="G17" s="128">
        <f>G$11*(CatchmentAreaPopulation!$B9/CatchmentAreaPopulation!$B$3)</f>
        <v>17574796.799999997</v>
      </c>
      <c r="H17" s="315">
        <f>H$11*(CatchmentAreaPopulation!$B9/CatchmentAreaPopulation!$B$3)</f>
        <v>776411.22239999985</v>
      </c>
      <c r="I17" s="129">
        <f>I$11*(CatchmentAreaPopulation!$B9/CatchmentAreaPopulation!$B$3)</f>
        <v>1076556</v>
      </c>
      <c r="J17" s="175">
        <f t="shared" si="1"/>
        <v>19427764.022399995</v>
      </c>
      <c r="K17" s="180">
        <f t="shared" si="2"/>
        <v>8626159.5672524907</v>
      </c>
      <c r="L17" s="25"/>
      <c r="M17" s="3"/>
      <c r="N17" s="20"/>
    </row>
    <row r="18" spans="1:14" x14ac:dyDescent="0.25">
      <c r="A18" s="112">
        <v>2034</v>
      </c>
      <c r="B18" s="106">
        <v>8</v>
      </c>
      <c r="C18" s="115">
        <v>14</v>
      </c>
      <c r="D18" s="128">
        <f>D$11*(CatchmentAreaPopulation!$B10/CatchmentAreaPopulation!$B$3)</f>
        <v>8054391.4666666677</v>
      </c>
      <c r="E18" s="315">
        <f>E$11*(CatchmentAreaPopulation!$B10/CatchmentAreaPopulation!$B$3)</f>
        <v>613307.9210666666</v>
      </c>
      <c r="F18" s="129">
        <f>F$11*(CatchmentAreaPopulation!$B10/CatchmentAreaPopulation!$B$3)</f>
        <v>837175.2</v>
      </c>
      <c r="G18" s="128">
        <f>G$11*(CatchmentAreaPopulation!$B10/CatchmentAreaPopulation!$B$3)</f>
        <v>17589369.600000001</v>
      </c>
      <c r="H18" s="315">
        <f>H$11*(CatchmentAreaPopulation!$B10/CatchmentAreaPopulation!$B$3)</f>
        <v>777055.01280000003</v>
      </c>
      <c r="I18" s="129">
        <f>I$11*(CatchmentAreaPopulation!$B10/CatchmentAreaPopulation!$B$3)</f>
        <v>1077448.6666666667</v>
      </c>
      <c r="J18" s="175">
        <f t="shared" si="1"/>
        <v>19443873.27946667</v>
      </c>
      <c r="K18" s="180">
        <f t="shared" si="2"/>
        <v>8068516.140228576</v>
      </c>
      <c r="L18" s="25"/>
      <c r="M18" s="3"/>
      <c r="N18" s="20"/>
    </row>
    <row r="19" spans="1:14" x14ac:dyDescent="0.25">
      <c r="A19" s="114">
        <v>2035</v>
      </c>
      <c r="B19" s="106">
        <v>9</v>
      </c>
      <c r="C19" s="115">
        <v>15</v>
      </c>
      <c r="D19" s="128">
        <f>D$11*(CatchmentAreaPopulation!$B11/CatchmentAreaPopulation!$B$3)</f>
        <v>8061064.5333333341</v>
      </c>
      <c r="E19" s="315">
        <f>E$11*(CatchmentAreaPopulation!$B11/CatchmentAreaPopulation!$B$3)</f>
        <v>613816.04693333316</v>
      </c>
      <c r="F19" s="129">
        <f>F$11*(CatchmentAreaPopulation!$B11/CatchmentAreaPopulation!$B$3)</f>
        <v>837868.79999999981</v>
      </c>
      <c r="G19" s="128">
        <f>G$11*(CatchmentAreaPopulation!$B11/CatchmentAreaPopulation!$B$3)</f>
        <v>17603942.399999999</v>
      </c>
      <c r="H19" s="315">
        <f>H$11*(CatchmentAreaPopulation!$B11/CatchmentAreaPopulation!$B$3)</f>
        <v>777698.80319999997</v>
      </c>
      <c r="I19" s="129">
        <f>I$11*(CatchmentAreaPopulation!$B11/CatchmentAreaPopulation!$B$3)</f>
        <v>1078341.3333333333</v>
      </c>
      <c r="J19" s="175">
        <f t="shared" si="1"/>
        <v>19459982.53653333</v>
      </c>
      <c r="K19" s="180">
        <f t="shared" si="2"/>
        <v>7546916.7375636799</v>
      </c>
      <c r="L19" s="25"/>
      <c r="M19" s="3"/>
      <c r="N19" s="20"/>
    </row>
    <row r="20" spans="1:14" x14ac:dyDescent="0.25">
      <c r="A20" s="112">
        <v>2036</v>
      </c>
      <c r="B20" s="106">
        <v>10</v>
      </c>
      <c r="C20" s="115">
        <v>16</v>
      </c>
      <c r="D20" s="128">
        <f>D$11*(CatchmentAreaPopulation!$B12/CatchmentAreaPopulation!$B$3)</f>
        <v>8067737.6000000015</v>
      </c>
      <c r="E20" s="315">
        <f>E$11*(CatchmentAreaPopulation!$B12/CatchmentAreaPopulation!$B$3)</f>
        <v>614324.17279999994</v>
      </c>
      <c r="F20" s="129">
        <f>F$11*(CatchmentAreaPopulation!$B12/CatchmentAreaPopulation!$B$3)</f>
        <v>838562.39999999991</v>
      </c>
      <c r="G20" s="128">
        <f>G$11*(CatchmentAreaPopulation!$B12/CatchmentAreaPopulation!$B$3)</f>
        <v>17618515.199999999</v>
      </c>
      <c r="H20" s="315">
        <f>H$11*(CatchmentAreaPopulation!$B12/CatchmentAreaPopulation!$B$3)</f>
        <v>778342.59360000002</v>
      </c>
      <c r="I20" s="129">
        <f>I$11*(CatchmentAreaPopulation!$B12/CatchmentAreaPopulation!$B$3)</f>
        <v>1079234</v>
      </c>
      <c r="J20" s="175">
        <f t="shared" si="1"/>
        <v>19476091.7936</v>
      </c>
      <c r="K20" s="180">
        <f t="shared" si="2"/>
        <v>7059031.9487795457</v>
      </c>
      <c r="L20" s="25"/>
      <c r="M20" s="20"/>
      <c r="N20" s="20"/>
    </row>
    <row r="21" spans="1:14" x14ac:dyDescent="0.25">
      <c r="A21" s="114">
        <v>2037</v>
      </c>
      <c r="B21" s="106">
        <v>11</v>
      </c>
      <c r="C21" s="115">
        <v>17</v>
      </c>
      <c r="D21" s="128">
        <f>D$11*(CatchmentAreaPopulation!$B13/CatchmentAreaPopulation!$B$3)</f>
        <v>8074410.666666667</v>
      </c>
      <c r="E21" s="315">
        <f>E$11*(CatchmentAreaPopulation!$B13/CatchmentAreaPopulation!$B$3)</f>
        <v>614832.29866666661</v>
      </c>
      <c r="F21" s="129">
        <f>F$11*(CatchmentAreaPopulation!$B13/CatchmentAreaPopulation!$B$3)</f>
        <v>839255.99999999988</v>
      </c>
      <c r="G21" s="128">
        <f>G$11*(CatchmentAreaPopulation!$B13/CatchmentAreaPopulation!$B$3)</f>
        <v>17633088</v>
      </c>
      <c r="H21" s="315">
        <f>H$11*(CatchmentAreaPopulation!$B13/CatchmentAreaPopulation!$B$3)</f>
        <v>778986.38399999996</v>
      </c>
      <c r="I21" s="129">
        <f>I$11*(CatchmentAreaPopulation!$B13/CatchmentAreaPopulation!$B$3)</f>
        <v>1080126.6666666667</v>
      </c>
      <c r="J21" s="175">
        <f t="shared" si="1"/>
        <v>19492201.050666668</v>
      </c>
      <c r="K21" s="180">
        <f t="shared" si="2"/>
        <v>6602682.8830679962</v>
      </c>
      <c r="L21" s="25"/>
      <c r="M21" s="20"/>
      <c r="N21" s="20"/>
    </row>
    <row r="22" spans="1:14" x14ac:dyDescent="0.25">
      <c r="A22" s="112">
        <v>2038</v>
      </c>
      <c r="B22" s="106">
        <v>12</v>
      </c>
      <c r="C22" s="115">
        <v>18</v>
      </c>
      <c r="D22" s="128">
        <f>D$11*(CatchmentAreaPopulation!$B14/CatchmentAreaPopulation!$B$3)</f>
        <v>8081083.7333333353</v>
      </c>
      <c r="E22" s="315">
        <f>E$11*(CatchmentAreaPopulation!$B14/CatchmentAreaPopulation!$B$3)</f>
        <v>615340.42453333328</v>
      </c>
      <c r="F22" s="129">
        <f>F$11*(CatchmentAreaPopulation!$B14/CatchmentAreaPopulation!$B$3)</f>
        <v>839949.6</v>
      </c>
      <c r="G22" s="128">
        <f>G$11*(CatchmentAreaPopulation!$B14/CatchmentAreaPopulation!$B$3)</f>
        <v>17647660.800000001</v>
      </c>
      <c r="H22" s="315">
        <f>H$11*(CatchmentAreaPopulation!$B14/CatchmentAreaPopulation!$B$3)</f>
        <v>779630.17440000002</v>
      </c>
      <c r="I22" s="129">
        <f>I$11*(CatchmentAreaPopulation!$B14/CatchmentAreaPopulation!$B$3)</f>
        <v>1081019.3333333335</v>
      </c>
      <c r="J22" s="175">
        <f t="shared" si="1"/>
        <v>19508310.307733335</v>
      </c>
      <c r="K22" s="180">
        <f t="shared" si="2"/>
        <v>6175831.4446553979</v>
      </c>
      <c r="L22" s="25"/>
      <c r="M22" s="20"/>
      <c r="N22" s="20"/>
    </row>
    <row r="23" spans="1:14" x14ac:dyDescent="0.25">
      <c r="A23" s="114">
        <v>2039</v>
      </c>
      <c r="B23" s="106">
        <v>13</v>
      </c>
      <c r="C23" s="115">
        <v>19</v>
      </c>
      <c r="D23" s="128">
        <f>D$11*(CatchmentAreaPopulation!$B15/CatchmentAreaPopulation!$B$3)</f>
        <v>8087756.8000000007</v>
      </c>
      <c r="E23" s="315">
        <f>E$11*(CatchmentAreaPopulation!$B15/CatchmentAreaPopulation!$B$3)</f>
        <v>615848.55039999995</v>
      </c>
      <c r="F23" s="129">
        <f>F$11*(CatchmentAreaPopulation!$B15/CatchmentAreaPopulation!$B$3)</f>
        <v>840643.19999999984</v>
      </c>
      <c r="G23" s="128">
        <f>G$11*(CatchmentAreaPopulation!$B15/CatchmentAreaPopulation!$B$3)</f>
        <v>17662233.600000001</v>
      </c>
      <c r="H23" s="315">
        <f>H$11*(CatchmentAreaPopulation!$B15/CatchmentAreaPopulation!$B$3)</f>
        <v>780273.96479999996</v>
      </c>
      <c r="I23" s="129">
        <f>I$11*(CatchmentAreaPopulation!$B15/CatchmentAreaPopulation!$B$3)</f>
        <v>1081912</v>
      </c>
      <c r="J23" s="175">
        <f t="shared" si="1"/>
        <v>19524419.564800002</v>
      </c>
      <c r="K23" s="180">
        <f t="shared" si="2"/>
        <v>5776571.2363477638</v>
      </c>
      <c r="L23" s="25"/>
    </row>
    <row r="24" spans="1:14" ht="15.75" customHeight="1" x14ac:dyDescent="0.25">
      <c r="A24" s="112">
        <v>2040</v>
      </c>
      <c r="B24" s="106">
        <v>14</v>
      </c>
      <c r="C24" s="115">
        <v>20</v>
      </c>
      <c r="D24" s="128">
        <f>D$11*(CatchmentAreaPopulation!$B16/CatchmentAreaPopulation!$B$3)</f>
        <v>8094429.8666666672</v>
      </c>
      <c r="E24" s="315">
        <f>E$11*(CatchmentAreaPopulation!$B16/CatchmentAreaPopulation!$B$3)</f>
        <v>616356.6762666665</v>
      </c>
      <c r="F24" s="129">
        <f>F$11*(CatchmentAreaPopulation!$B16/CatchmentAreaPopulation!$B$3)</f>
        <v>841336.79999999981</v>
      </c>
      <c r="G24" s="128">
        <f>G$11*(CatchmentAreaPopulation!$B16/CatchmentAreaPopulation!$B$3)</f>
        <v>17676806.399999999</v>
      </c>
      <c r="H24" s="315">
        <f>H$11*(CatchmentAreaPopulation!$B16/CatchmentAreaPopulation!$B$3)</f>
        <v>780917.7551999999</v>
      </c>
      <c r="I24" s="129">
        <f>I$11*(CatchmentAreaPopulation!$B16/CatchmentAreaPopulation!$B$3)</f>
        <v>1082804.6666666665</v>
      </c>
      <c r="J24" s="175">
        <f t="shared" si="1"/>
        <v>19540528.821866665</v>
      </c>
      <c r="K24" s="180">
        <f t="shared" si="2"/>
        <v>5403119.050684615</v>
      </c>
      <c r="L24" s="25"/>
    </row>
    <row r="25" spans="1:14" x14ac:dyDescent="0.25">
      <c r="A25" s="114">
        <v>2041</v>
      </c>
      <c r="B25" s="106">
        <v>15</v>
      </c>
      <c r="C25" s="115">
        <v>21</v>
      </c>
      <c r="D25" s="128">
        <f>D$11*(CatchmentAreaPopulation!$B17/CatchmentAreaPopulation!$B$3)</f>
        <v>8101102.9333333345</v>
      </c>
      <c r="E25" s="315">
        <f>E$11*(CatchmentAreaPopulation!$B17/CatchmentAreaPopulation!$B$3)</f>
        <v>616864.80213333329</v>
      </c>
      <c r="F25" s="129">
        <f>F$11*(CatchmentAreaPopulation!$B17/CatchmentAreaPopulation!$B$3)</f>
        <v>842030.39999999991</v>
      </c>
      <c r="G25" s="128">
        <f>G$11*(CatchmentAreaPopulation!$B17/CatchmentAreaPopulation!$B$3)</f>
        <v>17691379.199999999</v>
      </c>
      <c r="H25" s="315">
        <f>H$11*(CatchmentAreaPopulation!$B17/CatchmentAreaPopulation!$B$3)</f>
        <v>781561.54560000007</v>
      </c>
      <c r="I25" s="129">
        <f>I$11*(CatchmentAreaPopulation!$B17/CatchmentAreaPopulation!$B$3)</f>
        <v>1083697.3333333335</v>
      </c>
      <c r="J25" s="175">
        <f t="shared" si="1"/>
        <v>19556638.078933332</v>
      </c>
      <c r="K25" s="180">
        <f t="shared" si="2"/>
        <v>5053806.9107496841</v>
      </c>
      <c r="L25" s="25"/>
    </row>
    <row r="26" spans="1:14" x14ac:dyDescent="0.25">
      <c r="A26" s="112">
        <v>2042</v>
      </c>
      <c r="B26" s="106">
        <v>16</v>
      </c>
      <c r="C26" s="115">
        <v>22</v>
      </c>
      <c r="D26" s="128">
        <f>D$11*(CatchmentAreaPopulation!$B18/CatchmentAreaPopulation!$B$3)</f>
        <v>8107776.0000000009</v>
      </c>
      <c r="E26" s="315">
        <f>E$11*(CatchmentAreaPopulation!$B18/CatchmentAreaPopulation!$B$3)</f>
        <v>617372.92799999984</v>
      </c>
      <c r="F26" s="129">
        <f>F$11*(CatchmentAreaPopulation!$B18/CatchmentAreaPopulation!$B$3)</f>
        <v>842723.99999999988</v>
      </c>
      <c r="G26" s="128">
        <f>G$11*(CatchmentAreaPopulation!$B18/CatchmentAreaPopulation!$B$3)</f>
        <v>17705952</v>
      </c>
      <c r="H26" s="315">
        <f>H$11*(CatchmentAreaPopulation!$B18/CatchmentAreaPopulation!$B$3)</f>
        <v>782205.33599999989</v>
      </c>
      <c r="I26" s="129">
        <f>I$11*(CatchmentAreaPopulation!$B18/CatchmentAreaPopulation!$B$3)</f>
        <v>1084590</v>
      </c>
      <c r="J26" s="175">
        <f t="shared" si="1"/>
        <v>19572747.335999999</v>
      </c>
      <c r="K26" s="180">
        <f t="shared" si="2"/>
        <v>4727074.6251373123</v>
      </c>
      <c r="L26" s="25"/>
    </row>
    <row r="27" spans="1:14" x14ac:dyDescent="0.25">
      <c r="A27" s="114">
        <v>2043</v>
      </c>
      <c r="B27" s="106">
        <v>17</v>
      </c>
      <c r="C27" s="115">
        <v>23</v>
      </c>
      <c r="D27" s="128">
        <f>D$11*(CatchmentAreaPopulation!$B19/CatchmentAreaPopulation!$B$3)</f>
        <v>8114449.0666666683</v>
      </c>
      <c r="E27" s="315">
        <f>E$11*(CatchmentAreaPopulation!$B19/CatchmentAreaPopulation!$B$3)</f>
        <v>617881.05386666663</v>
      </c>
      <c r="F27" s="129">
        <f>F$11*(CatchmentAreaPopulation!$B19/CatchmentAreaPopulation!$B$3)</f>
        <v>843417.59999999998</v>
      </c>
      <c r="G27" s="128">
        <f>G$11*(CatchmentAreaPopulation!$B19/CatchmentAreaPopulation!$B$3)</f>
        <v>17720524.800000001</v>
      </c>
      <c r="H27" s="315">
        <f>H$11*(CatchmentAreaPopulation!$B19/CatchmentAreaPopulation!$B$3)</f>
        <v>782849.12640000007</v>
      </c>
      <c r="I27" s="129">
        <f>I$11*(CatchmentAreaPopulation!$B19/CatchmentAreaPopulation!$B$3)</f>
        <v>1085482.6666666667</v>
      </c>
      <c r="J27" s="175">
        <f t="shared" si="1"/>
        <v>19588856.59306667</v>
      </c>
      <c r="K27" s="180">
        <f t="shared" si="2"/>
        <v>4421462.8238659846</v>
      </c>
      <c r="L27" s="25"/>
    </row>
    <row r="28" spans="1:14" x14ac:dyDescent="0.25">
      <c r="A28" s="112">
        <v>2044</v>
      </c>
      <c r="B28" s="106">
        <v>18</v>
      </c>
      <c r="C28" s="115">
        <v>24</v>
      </c>
      <c r="D28" s="128">
        <f>D$11*(CatchmentAreaPopulation!$B20/CatchmentAreaPopulation!$B$3)</f>
        <v>8121122.1333333338</v>
      </c>
      <c r="E28" s="315">
        <f>E$11*(CatchmentAreaPopulation!$B20/CatchmentAreaPopulation!$B$3)</f>
        <v>618389.17973333329</v>
      </c>
      <c r="F28" s="129">
        <f>F$11*(CatchmentAreaPopulation!$B20/CatchmentAreaPopulation!$B$3)</f>
        <v>844111.19999999984</v>
      </c>
      <c r="G28" s="128">
        <f>G$11*(CatchmentAreaPopulation!$B20/CatchmentAreaPopulation!$B$3)</f>
        <v>17735097.600000001</v>
      </c>
      <c r="H28" s="315">
        <f>H$11*(CatchmentAreaPopulation!$B20/CatchmentAreaPopulation!$B$3)</f>
        <v>783492.91680000001</v>
      </c>
      <c r="I28" s="129">
        <f>I$11*(CatchmentAreaPopulation!$B20/CatchmentAreaPopulation!$B$3)</f>
        <v>1086375.3333333333</v>
      </c>
      <c r="J28" s="175">
        <f t="shared" si="1"/>
        <v>19604965.850133333</v>
      </c>
      <c r="K28" s="180">
        <f t="shared" si="2"/>
        <v>4135606.4441749435</v>
      </c>
      <c r="L28" s="25"/>
    </row>
    <row r="29" spans="1:14" x14ac:dyDescent="0.25">
      <c r="A29" s="114">
        <v>2045</v>
      </c>
      <c r="B29" s="106">
        <v>19</v>
      </c>
      <c r="C29" s="115">
        <v>25</v>
      </c>
      <c r="D29" s="128">
        <f>D$11*(CatchmentAreaPopulation!$B21/CatchmentAreaPopulation!$B$3)</f>
        <v>8127795.2000000002</v>
      </c>
      <c r="E29" s="315">
        <f>E$11*(CatchmentAreaPopulation!$B21/CatchmentAreaPopulation!$B$3)</f>
        <v>618897.30559999985</v>
      </c>
      <c r="F29" s="129">
        <f>F$11*(CatchmentAreaPopulation!$B21/CatchmentAreaPopulation!$B$3)</f>
        <v>844804.79999999981</v>
      </c>
      <c r="G29" s="128">
        <f>G$11*(CatchmentAreaPopulation!$B21/CatchmentAreaPopulation!$B$3)</f>
        <v>17749670.399999999</v>
      </c>
      <c r="H29" s="315">
        <f>H$11*(CatchmentAreaPopulation!$B21/CatchmentAreaPopulation!$B$3)</f>
        <v>784136.70719999995</v>
      </c>
      <c r="I29" s="129">
        <f>I$11*(CatchmentAreaPopulation!$B21/CatchmentAreaPopulation!$B$3)</f>
        <v>1087268</v>
      </c>
      <c r="J29" s="175">
        <f t="shared" si="1"/>
        <v>19621075.107199997</v>
      </c>
      <c r="K29" s="180">
        <f t="shared" si="2"/>
        <v>3868228.6371459467</v>
      </c>
      <c r="L29" s="25"/>
    </row>
    <row r="30" spans="1:14" x14ac:dyDescent="0.25">
      <c r="A30" s="112">
        <v>2046</v>
      </c>
      <c r="B30" s="106">
        <v>20</v>
      </c>
      <c r="C30" s="115">
        <v>26</v>
      </c>
      <c r="D30" s="128">
        <f>D$11*(CatchmentAreaPopulation!$B22/CatchmentAreaPopulation!$B$3)</f>
        <v>8134468.2666666675</v>
      </c>
      <c r="E30" s="315">
        <f>E$11*(CatchmentAreaPopulation!$B22/CatchmentAreaPopulation!$B$3)</f>
        <v>619405.43146666663</v>
      </c>
      <c r="F30" s="129">
        <f>F$11*(CatchmentAreaPopulation!$B22/CatchmentAreaPopulation!$B$3)</f>
        <v>845498.39999999991</v>
      </c>
      <c r="G30" s="128">
        <f>G$11*(CatchmentAreaPopulation!$B22/CatchmentAreaPopulation!$B$3)</f>
        <v>17764243.199999999</v>
      </c>
      <c r="H30" s="315">
        <f>H$11*(CatchmentAreaPopulation!$B22/CatchmentAreaPopulation!$B$3)</f>
        <v>784780.4976</v>
      </c>
      <c r="I30" s="129">
        <f>I$11*(CatchmentAreaPopulation!$B22/CatchmentAreaPopulation!$B$3)</f>
        <v>1088160.6666666667</v>
      </c>
      <c r="J30" s="175">
        <f t="shared" si="1"/>
        <v>19637184.364266668</v>
      </c>
      <c r="K30" s="180">
        <f t="shared" si="2"/>
        <v>3618135.0679687164</v>
      </c>
      <c r="L30" s="25"/>
    </row>
    <row r="31" spans="1:14" x14ac:dyDescent="0.25">
      <c r="A31" s="110">
        <v>2047</v>
      </c>
      <c r="B31" s="104">
        <v>21</v>
      </c>
      <c r="C31" s="111">
        <v>27</v>
      </c>
      <c r="D31" s="124">
        <f>D$11*(CatchmentAreaPopulation!$B23/CatchmentAreaPopulation!$B$3)</f>
        <v>8141141.333333334</v>
      </c>
      <c r="E31" s="173">
        <f>E$11*(CatchmentAreaPopulation!$B23/CatchmentAreaPopulation!$B$3)</f>
        <v>619913.55733333318</v>
      </c>
      <c r="F31" s="125">
        <f>F$11*(CatchmentAreaPopulation!$B23/CatchmentAreaPopulation!$B$3)</f>
        <v>846191.99999999988</v>
      </c>
      <c r="G31" s="124">
        <f>G$11*(CatchmentAreaPopulation!$B23/CatchmentAreaPopulation!$B$3)</f>
        <v>17778816</v>
      </c>
      <c r="H31" s="173">
        <f>H$11*(CatchmentAreaPopulation!$B23/CatchmentAreaPopulation!$B$3)</f>
        <v>785424.28799999994</v>
      </c>
      <c r="I31" s="125">
        <f>I$11*(CatchmentAreaPopulation!$B23/CatchmentAreaPopulation!$B$3)</f>
        <v>1089053.3333333333</v>
      </c>
      <c r="J31" s="173">
        <f t="shared" si="1"/>
        <v>19653293.621333331</v>
      </c>
      <c r="K31" s="178">
        <f t="shared" si="2"/>
        <v>3384208.5844240598</v>
      </c>
      <c r="L31" s="20" t="s">
        <v>96</v>
      </c>
    </row>
    <row r="32" spans="1:14" x14ac:dyDescent="0.25">
      <c r="A32" s="112">
        <v>2048</v>
      </c>
      <c r="B32" s="106">
        <v>22</v>
      </c>
      <c r="C32" s="115">
        <v>28</v>
      </c>
      <c r="D32" s="128">
        <f>D$11*(CatchmentAreaPopulation!$B24/CatchmentAreaPopulation!$B$3)</f>
        <v>8147814.4000000013</v>
      </c>
      <c r="E32" s="315">
        <f>E$11*(CatchmentAreaPopulation!$B24/CatchmentAreaPopulation!$B$3)</f>
        <v>620421.68319999997</v>
      </c>
      <c r="F32" s="129">
        <f>F$11*(CatchmentAreaPopulation!$B24/CatchmentAreaPopulation!$B$3)</f>
        <v>846885.6</v>
      </c>
      <c r="G32" s="128">
        <f>G$11*(CatchmentAreaPopulation!$B24/CatchmentAreaPopulation!$B$3)</f>
        <v>17793388.800000001</v>
      </c>
      <c r="H32" s="315">
        <f>H$11*(CatchmentAreaPopulation!$B24/CatchmentAreaPopulation!$B$3)</f>
        <v>786068.0784</v>
      </c>
      <c r="I32" s="129">
        <f>I$11*(CatchmentAreaPopulation!$B24/CatchmentAreaPopulation!$B$3)</f>
        <v>1089946</v>
      </c>
      <c r="J32" s="175">
        <f t="shared" si="1"/>
        <v>19669402.878400002</v>
      </c>
      <c r="K32" s="180">
        <f t="shared" si="2"/>
        <v>3165404.2298006564</v>
      </c>
      <c r="L32" s="25"/>
    </row>
    <row r="33" spans="1:12" x14ac:dyDescent="0.25">
      <c r="A33" s="114">
        <v>2049</v>
      </c>
      <c r="B33" s="106">
        <v>23</v>
      </c>
      <c r="C33" s="115">
        <v>29</v>
      </c>
      <c r="D33" s="128">
        <f>D$11*(CatchmentAreaPopulation!$B25/CatchmentAreaPopulation!$B$3)</f>
        <v>8154487.4666666677</v>
      </c>
      <c r="E33" s="315">
        <f>E$11*(CatchmentAreaPopulation!$B25/CatchmentAreaPopulation!$B$3)</f>
        <v>620929.80906666652</v>
      </c>
      <c r="F33" s="129">
        <f>F$11*(CatchmentAreaPopulation!$B25/CatchmentAreaPopulation!$B$3)</f>
        <v>847579.19999999984</v>
      </c>
      <c r="G33" s="128">
        <f>G$11*(CatchmentAreaPopulation!$B25/CatchmentAreaPopulation!$B$3)</f>
        <v>17807961.600000001</v>
      </c>
      <c r="H33" s="315">
        <f>H$11*(CatchmentAreaPopulation!$B25/CatchmentAreaPopulation!$B$3)</f>
        <v>786711.86879999994</v>
      </c>
      <c r="I33" s="129">
        <f>I$11*(CatchmentAreaPopulation!$B25/CatchmentAreaPopulation!$B$3)</f>
        <v>1090838.6666666667</v>
      </c>
      <c r="J33" s="175">
        <f t="shared" si="1"/>
        <v>19685512.135466669</v>
      </c>
      <c r="K33" s="180">
        <f t="shared" si="2"/>
        <v>2960744.5779975071</v>
      </c>
      <c r="L33" s="25"/>
    </row>
    <row r="34" spans="1:12" x14ac:dyDescent="0.25">
      <c r="A34" s="112">
        <v>2050</v>
      </c>
      <c r="B34" s="106">
        <v>24</v>
      </c>
      <c r="C34" s="115">
        <v>30</v>
      </c>
      <c r="D34" s="128">
        <f>D$11*(CatchmentAreaPopulation!$B26/CatchmentAreaPopulation!$B$3)</f>
        <v>8161160.5333333351</v>
      </c>
      <c r="E34" s="315">
        <f>E$11*(CatchmentAreaPopulation!$B26/CatchmentAreaPopulation!$B$3)</f>
        <v>621437.93493333331</v>
      </c>
      <c r="F34" s="129">
        <f>F$11*(CatchmentAreaPopulation!$B26/CatchmentAreaPopulation!$B$3)</f>
        <v>848272.79999999993</v>
      </c>
      <c r="G34" s="128">
        <f>G$11*(CatchmentAreaPopulation!$B26/CatchmentAreaPopulation!$B$3)</f>
        <v>17822534.400000002</v>
      </c>
      <c r="H34" s="315">
        <f>H$11*(CatchmentAreaPopulation!$B26/CatchmentAreaPopulation!$B$3)</f>
        <v>787355.65920000011</v>
      </c>
      <c r="I34" s="129">
        <f>I$11*(CatchmentAreaPopulation!$B26/CatchmentAreaPopulation!$B$3)</f>
        <v>1091731.3333333335</v>
      </c>
      <c r="J34" s="175">
        <f t="shared" si="1"/>
        <v>19701621.392533336</v>
      </c>
      <c r="K34" s="180">
        <f t="shared" si="2"/>
        <v>2769315.3700008802</v>
      </c>
      <c r="L34" s="25"/>
    </row>
    <row r="35" spans="1:12" x14ac:dyDescent="0.25">
      <c r="A35" s="114">
        <v>2051</v>
      </c>
      <c r="B35" s="106">
        <v>25</v>
      </c>
      <c r="C35" s="115">
        <v>31</v>
      </c>
      <c r="D35" s="128">
        <f>D$11*(CatchmentAreaPopulation!$B27/CatchmentAreaPopulation!$B$3)</f>
        <v>8167833.6000000015</v>
      </c>
      <c r="E35" s="315">
        <f>E$11*(CatchmentAreaPopulation!$B27/CatchmentAreaPopulation!$B$3)</f>
        <v>621946.06079999998</v>
      </c>
      <c r="F35" s="129">
        <f>F$11*(CatchmentAreaPopulation!$B27/CatchmentAreaPopulation!$B$3)</f>
        <v>848966.39999999991</v>
      </c>
      <c r="G35" s="128">
        <f>G$11*(CatchmentAreaPopulation!$B27/CatchmentAreaPopulation!$B$3)</f>
        <v>17837107.199999999</v>
      </c>
      <c r="H35" s="315">
        <f>H$11*(CatchmentAreaPopulation!$B27/CatchmentAreaPopulation!$B$3)</f>
        <v>787999.44960000005</v>
      </c>
      <c r="I35" s="129">
        <f>I$11*(CatchmentAreaPopulation!$B27/CatchmentAreaPopulation!$B$3)</f>
        <v>1092624</v>
      </c>
      <c r="J35" s="175">
        <f t="shared" si="1"/>
        <v>19717730.649599999</v>
      </c>
      <c r="K35" s="180">
        <f t="shared" si="2"/>
        <v>2590261.4322686493</v>
      </c>
      <c r="L35" s="25"/>
    </row>
    <row r="36" spans="1:12" x14ac:dyDescent="0.25">
      <c r="A36" s="112">
        <v>2052</v>
      </c>
      <c r="B36" s="106">
        <v>26</v>
      </c>
      <c r="C36" s="115">
        <v>32</v>
      </c>
      <c r="D36" s="128">
        <f>D$11*(CatchmentAreaPopulation!$B28/CatchmentAreaPopulation!$B$3)</f>
        <v>8174506.666666667</v>
      </c>
      <c r="E36" s="315">
        <f>E$11*(CatchmentAreaPopulation!$B28/CatchmentAreaPopulation!$B$3)</f>
        <v>622454.18666666653</v>
      </c>
      <c r="F36" s="129">
        <f>F$11*(CatchmentAreaPopulation!$B28/CatchmentAreaPopulation!$B$3)</f>
        <v>849659.99999999977</v>
      </c>
      <c r="G36" s="128">
        <f>G$11*(CatchmentAreaPopulation!$B28/CatchmentAreaPopulation!$B$3)</f>
        <v>17851680</v>
      </c>
      <c r="H36" s="315">
        <f>H$11*(CatchmentAreaPopulation!$B28/CatchmentAreaPopulation!$B$3)</f>
        <v>788643.23999999987</v>
      </c>
      <c r="I36" s="129">
        <f>I$11*(CatchmentAreaPopulation!$B28/CatchmentAreaPopulation!$B$3)</f>
        <v>1093516.6666666665</v>
      </c>
      <c r="J36" s="175">
        <f t="shared" si="1"/>
        <v>19733839.906666666</v>
      </c>
      <c r="K36" s="180">
        <f t="shared" si="2"/>
        <v>2422782.8588121487</v>
      </c>
      <c r="L36" s="25"/>
    </row>
    <row r="37" spans="1:12" x14ac:dyDescent="0.25">
      <c r="A37" s="114">
        <v>2053</v>
      </c>
      <c r="B37" s="106">
        <v>27</v>
      </c>
      <c r="C37" s="115">
        <v>33</v>
      </c>
      <c r="D37" s="128">
        <f>D$11*(CatchmentAreaPopulation!$B29/CatchmentAreaPopulation!$B$3)</f>
        <v>8181179.7333333343</v>
      </c>
      <c r="E37" s="315">
        <f>E$11*(CatchmentAreaPopulation!$B29/CatchmentAreaPopulation!$B$3)</f>
        <v>622962.31253333332</v>
      </c>
      <c r="F37" s="129">
        <f>F$11*(CatchmentAreaPopulation!$B29/CatchmentAreaPopulation!$B$3)</f>
        <v>850353.6</v>
      </c>
      <c r="G37" s="128">
        <f>G$11*(CatchmentAreaPopulation!$B29/CatchmentAreaPopulation!$B$3)</f>
        <v>17866252.800000001</v>
      </c>
      <c r="H37" s="315">
        <f>H$11*(CatchmentAreaPopulation!$B29/CatchmentAreaPopulation!$B$3)</f>
        <v>789287.03040000005</v>
      </c>
      <c r="I37" s="129">
        <f>I$11*(CatchmentAreaPopulation!$B29/CatchmentAreaPopulation!$B$3)</f>
        <v>1094409.3333333335</v>
      </c>
      <c r="J37" s="175">
        <f t="shared" si="1"/>
        <v>19749949.163733333</v>
      </c>
      <c r="K37" s="180">
        <f t="shared" si="2"/>
        <v>2266131.4399417848</v>
      </c>
      <c r="L37" s="25"/>
    </row>
    <row r="38" spans="1:12" x14ac:dyDescent="0.25">
      <c r="A38" s="112">
        <v>2054</v>
      </c>
      <c r="B38" s="106">
        <v>28</v>
      </c>
      <c r="C38" s="115">
        <v>34</v>
      </c>
      <c r="D38" s="128">
        <f>D$11*(CatchmentAreaPopulation!$B30/CatchmentAreaPopulation!$B$3)</f>
        <v>8187852.8000000007</v>
      </c>
      <c r="E38" s="315">
        <f>E$11*(CatchmentAreaPopulation!$B30/CatchmentAreaPopulation!$B$3)</f>
        <v>623470.43839999987</v>
      </c>
      <c r="F38" s="129">
        <f>F$11*(CatchmentAreaPopulation!$B30/CatchmentAreaPopulation!$B$3)</f>
        <v>851047.19999999984</v>
      </c>
      <c r="G38" s="128">
        <f>G$11*(CatchmentAreaPopulation!$B30/CatchmentAreaPopulation!$B$3)</f>
        <v>17880825.599999998</v>
      </c>
      <c r="H38" s="315">
        <f>H$11*(CatchmentAreaPopulation!$B30/CatchmentAreaPopulation!$B$3)</f>
        <v>789930.82079999999</v>
      </c>
      <c r="I38" s="129">
        <f>I$11*(CatchmentAreaPopulation!$B30/CatchmentAreaPopulation!$B$3)</f>
        <v>1095302</v>
      </c>
      <c r="J38" s="175">
        <f t="shared" si="1"/>
        <v>19766058.420799997</v>
      </c>
      <c r="K38" s="180">
        <f t="shared" si="2"/>
        <v>2119607.3217427465</v>
      </c>
      <c r="L38" s="25"/>
    </row>
    <row r="39" spans="1:12" x14ac:dyDescent="0.25">
      <c r="A39" s="114">
        <v>2055</v>
      </c>
      <c r="B39" s="106">
        <v>29</v>
      </c>
      <c r="C39" s="115">
        <v>35</v>
      </c>
      <c r="D39" s="128">
        <f>D$11*(CatchmentAreaPopulation!$B31/CatchmentAreaPopulation!$B$3)</f>
        <v>8194525.8666666681</v>
      </c>
      <c r="E39" s="315">
        <f>E$11*(CatchmentAreaPopulation!$B31/CatchmentAreaPopulation!$B$3)</f>
        <v>623978.56426666665</v>
      </c>
      <c r="F39" s="129">
        <f>F$11*(CatchmentAreaPopulation!$B31/CatchmentAreaPopulation!$B$3)</f>
        <v>851740.79999999993</v>
      </c>
      <c r="G39" s="128">
        <f>G$11*(CatchmentAreaPopulation!$B31/CatchmentAreaPopulation!$B$3)</f>
        <v>17895398.400000002</v>
      </c>
      <c r="H39" s="315">
        <f>H$11*(CatchmentAreaPopulation!$B31/CatchmentAreaPopulation!$B$3)</f>
        <v>790574.61120000004</v>
      </c>
      <c r="I39" s="129">
        <f>I$11*(CatchmentAreaPopulation!$B31/CatchmentAreaPopulation!$B$3)</f>
        <v>1096194.6666666667</v>
      </c>
      <c r="J39" s="175">
        <f t="shared" si="1"/>
        <v>19782167.677866671</v>
      </c>
      <c r="K39" s="180">
        <f t="shared" si="2"/>
        <v>1982555.8813762721</v>
      </c>
      <c r="L39" s="25"/>
    </row>
    <row r="40" spans="1:12" x14ac:dyDescent="0.25">
      <c r="A40" s="112">
        <v>2056</v>
      </c>
      <c r="B40" s="106">
        <v>30</v>
      </c>
      <c r="C40" s="115">
        <v>36</v>
      </c>
      <c r="D40" s="128">
        <f>D$11*(CatchmentAreaPopulation!$B32/CatchmentAreaPopulation!$B$3)</f>
        <v>8201198.9333333345</v>
      </c>
      <c r="E40" s="315">
        <f>E$11*(CatchmentAreaPopulation!$B32/CatchmentAreaPopulation!$B$3)</f>
        <v>624486.69013333321</v>
      </c>
      <c r="F40" s="129">
        <f>F$11*(CatchmentAreaPopulation!$B32/CatchmentAreaPopulation!$B$3)</f>
        <v>852434.39999999991</v>
      </c>
      <c r="G40" s="128">
        <f>G$11*(CatchmentAreaPopulation!$B32/CatchmentAreaPopulation!$B$3)</f>
        <v>17909971.199999999</v>
      </c>
      <c r="H40" s="315">
        <f>H$11*(CatchmentAreaPopulation!$B32/CatchmentAreaPopulation!$B$3)</f>
        <v>791218.40159999998</v>
      </c>
      <c r="I40" s="129">
        <f>I$11*(CatchmentAreaPopulation!$B32/CatchmentAreaPopulation!$B$3)</f>
        <v>1097087.3333333333</v>
      </c>
      <c r="J40" s="175">
        <f t="shared" si="1"/>
        <v>19798276.934933331</v>
      </c>
      <c r="K40" s="180">
        <f t="shared" si="2"/>
        <v>1854364.8042645417</v>
      </c>
      <c r="L40" s="25"/>
    </row>
    <row r="41" spans="1:12" ht="15.75" thickBot="1" x14ac:dyDescent="0.3">
      <c r="A41" s="116">
        <v>2057</v>
      </c>
      <c r="B41" s="117">
        <v>31</v>
      </c>
      <c r="C41" s="118">
        <v>37</v>
      </c>
      <c r="D41" s="231">
        <f>D$11*(CatchmentAreaPopulation!$B33/CatchmentAreaPopulation!$B$3)</f>
        <v>8207872</v>
      </c>
      <c r="E41" s="316">
        <f>E$11*(CatchmentAreaPopulation!$B33/CatchmentAreaPopulation!$B$3)</f>
        <v>624994.81599999988</v>
      </c>
      <c r="F41" s="232">
        <f>F$11*(CatchmentAreaPopulation!$B33/CatchmentAreaPopulation!$B$3)</f>
        <v>853127.99999999977</v>
      </c>
      <c r="G41" s="231">
        <f>G$11*(CatchmentAreaPopulation!$B33/CatchmentAreaPopulation!$B$3)</f>
        <v>17924544</v>
      </c>
      <c r="H41" s="316">
        <f>H$11*(CatchmentAreaPopulation!$B33/CatchmentAreaPopulation!$B$3)</f>
        <v>791862.19199999992</v>
      </c>
      <c r="I41" s="232">
        <f>I$11*(CatchmentAreaPopulation!$B33/CatchmentAreaPopulation!$B$3)</f>
        <v>1097980</v>
      </c>
      <c r="J41" s="176">
        <f t="shared" si="1"/>
        <v>19814386.192000002</v>
      </c>
      <c r="K41" s="193">
        <f t="shared" si="2"/>
        <v>1734461.3501177819</v>
      </c>
      <c r="L41" s="25"/>
    </row>
    <row r="42" spans="1:12" ht="15.75" thickBot="1" x14ac:dyDescent="0.3">
      <c r="D42" s="4"/>
      <c r="E42" s="4"/>
      <c r="F42" s="4"/>
      <c r="G42" s="4"/>
      <c r="H42" s="4"/>
      <c r="I42" s="4"/>
      <c r="J42" s="10">
        <f>SUM(J5:J41)</f>
        <v>616204918.45600021</v>
      </c>
      <c r="K42" s="194">
        <f>SUM(K5:K41)</f>
        <v>180452169.22542879</v>
      </c>
      <c r="L42" s="26"/>
    </row>
    <row r="43" spans="1:12" x14ac:dyDescent="0.25">
      <c r="J43" s="4"/>
      <c r="K43" s="4"/>
      <c r="L43" s="4"/>
    </row>
    <row r="44" spans="1:12" x14ac:dyDescent="0.25">
      <c r="C44" s="5"/>
    </row>
    <row r="45" spans="1:12" x14ac:dyDescent="0.25">
      <c r="D45" s="8"/>
      <c r="E45" s="8"/>
      <c r="F45" s="8"/>
      <c r="G45" s="8"/>
      <c r="H45" s="8"/>
      <c r="I45" s="8"/>
      <c r="J45" s="8"/>
      <c r="K45" s="8"/>
    </row>
    <row r="46" spans="1:12" x14ac:dyDescent="0.25">
      <c r="D46" s="2"/>
      <c r="E46" s="2"/>
      <c r="F46" s="2"/>
      <c r="G46" s="2"/>
      <c r="H46" s="2"/>
      <c r="I46" s="2"/>
      <c r="J46" s="2"/>
      <c r="K46" s="2"/>
    </row>
    <row r="47" spans="1:12" x14ac:dyDescent="0.25">
      <c r="D47" s="1"/>
      <c r="E47" s="1"/>
      <c r="F47" s="1"/>
      <c r="G47" s="1"/>
      <c r="H47" s="1"/>
      <c r="I47" s="1"/>
      <c r="J47" s="3"/>
      <c r="K47" s="3"/>
    </row>
    <row r="48" spans="1:12" x14ac:dyDescent="0.25">
      <c r="D48" s="1"/>
      <c r="E48" s="1"/>
      <c r="F48" s="1"/>
      <c r="G48" s="1"/>
      <c r="H48" s="1"/>
      <c r="I48" s="1"/>
      <c r="J48" s="3"/>
      <c r="K48" s="3"/>
    </row>
    <row r="49" spans="3:12" x14ac:dyDescent="0.25">
      <c r="D49" s="1"/>
      <c r="E49" s="1"/>
      <c r="F49" s="1"/>
      <c r="G49" s="1"/>
      <c r="H49" s="1"/>
      <c r="I49" s="1"/>
      <c r="J49" s="3"/>
      <c r="K49" s="3"/>
    </row>
    <row r="50" spans="3:12" x14ac:dyDescent="0.25">
      <c r="D50" s="1"/>
      <c r="E50" s="1"/>
      <c r="F50" s="1"/>
      <c r="G50" s="1"/>
      <c r="H50" s="1"/>
      <c r="I50" s="1"/>
      <c r="J50" s="3"/>
      <c r="K50" s="3"/>
    </row>
    <row r="51" spans="3:12" x14ac:dyDescent="0.25">
      <c r="D51" s="1"/>
      <c r="E51" s="1"/>
      <c r="F51" s="1"/>
      <c r="G51" s="1"/>
      <c r="H51" s="1"/>
      <c r="I51" s="1"/>
      <c r="J51" s="3"/>
      <c r="K51" s="3"/>
      <c r="L51" s="20"/>
    </row>
    <row r="52" spans="3:12" x14ac:dyDescent="0.25">
      <c r="D52" s="1"/>
      <c r="E52" s="1"/>
      <c r="F52" s="1"/>
      <c r="G52" s="1"/>
      <c r="H52" s="1"/>
      <c r="I52" s="1"/>
      <c r="J52" s="3"/>
      <c r="K52" s="3"/>
      <c r="L52" s="20"/>
    </row>
    <row r="53" spans="3:12" x14ac:dyDescent="0.25">
      <c r="C53" s="9"/>
      <c r="D53" s="1"/>
      <c r="E53" s="1"/>
      <c r="F53" s="1"/>
      <c r="G53" s="1"/>
      <c r="H53" s="1"/>
      <c r="I53" s="1"/>
      <c r="J53" s="3"/>
      <c r="K53" s="3"/>
      <c r="L53" s="20"/>
    </row>
    <row r="54" spans="3:12" x14ac:dyDescent="0.25">
      <c r="D54" s="1"/>
      <c r="E54" s="1"/>
      <c r="F54" s="1"/>
      <c r="G54" s="1"/>
      <c r="H54" s="1"/>
      <c r="I54" s="1"/>
      <c r="J54" s="3"/>
      <c r="K54" s="3"/>
      <c r="L54" s="20"/>
    </row>
    <row r="55" spans="3:12" x14ac:dyDescent="0.25">
      <c r="D55" s="1"/>
      <c r="E55" s="1"/>
      <c r="F55" s="1"/>
      <c r="G55" s="1"/>
      <c r="H55" s="1"/>
      <c r="I55" s="1"/>
      <c r="J55" s="3"/>
      <c r="K55" s="3"/>
      <c r="L55" s="20"/>
    </row>
    <row r="56" spans="3:12" x14ac:dyDescent="0.25">
      <c r="D56" s="1"/>
      <c r="E56" s="1"/>
      <c r="F56" s="1"/>
      <c r="G56" s="1"/>
      <c r="H56" s="1"/>
      <c r="I56" s="1"/>
      <c r="J56" s="3"/>
      <c r="K56" s="3"/>
      <c r="L56" s="20"/>
    </row>
    <row r="57" spans="3:12" x14ac:dyDescent="0.25">
      <c r="D57" s="1"/>
      <c r="E57" s="1"/>
      <c r="F57" s="1"/>
      <c r="G57" s="1"/>
      <c r="H57" s="1"/>
      <c r="I57" s="1"/>
      <c r="J57" s="3"/>
      <c r="K57" s="3"/>
      <c r="L57" s="20"/>
    </row>
    <row r="58" spans="3:12" x14ac:dyDescent="0.25">
      <c r="D58" s="1"/>
      <c r="E58" s="1"/>
      <c r="F58" s="1"/>
      <c r="G58" s="1"/>
      <c r="H58" s="1"/>
      <c r="I58" s="1"/>
      <c r="J58" s="3"/>
      <c r="K58" s="3"/>
      <c r="L58" s="20"/>
    </row>
    <row r="59" spans="3:12" x14ac:dyDescent="0.25">
      <c r="D59" s="1"/>
      <c r="E59" s="1"/>
      <c r="F59" s="1"/>
      <c r="G59" s="1"/>
      <c r="H59" s="1"/>
      <c r="I59" s="1"/>
      <c r="J59" s="3"/>
      <c r="K59" s="3"/>
      <c r="L59" s="20"/>
    </row>
    <row r="60" spans="3:12" x14ac:dyDescent="0.25">
      <c r="D60" s="1"/>
      <c r="E60" s="1"/>
      <c r="F60" s="1"/>
      <c r="G60" s="1"/>
      <c r="H60" s="1"/>
      <c r="I60" s="1"/>
      <c r="J60" s="3"/>
      <c r="K60" s="3"/>
      <c r="L60" s="20"/>
    </row>
    <row r="61" spans="3:12" x14ac:dyDescent="0.25">
      <c r="D61" s="1"/>
      <c r="E61" s="1"/>
      <c r="F61" s="1"/>
      <c r="G61" s="1"/>
      <c r="H61" s="1"/>
      <c r="I61" s="1"/>
      <c r="J61" s="3"/>
      <c r="K61" s="3"/>
      <c r="L61" s="20"/>
    </row>
    <row r="62" spans="3:12" x14ac:dyDescent="0.25">
      <c r="D62" s="1"/>
      <c r="E62" s="1"/>
      <c r="F62" s="1"/>
      <c r="G62" s="1"/>
      <c r="H62" s="1"/>
      <c r="I62" s="1"/>
      <c r="J62" s="3"/>
      <c r="K62" s="3"/>
      <c r="L62" s="20"/>
    </row>
    <row r="63" spans="3:12" x14ac:dyDescent="0.25">
      <c r="D63" s="1"/>
      <c r="E63" s="1"/>
      <c r="F63" s="1"/>
      <c r="G63" s="1"/>
      <c r="H63" s="1"/>
      <c r="I63" s="1"/>
      <c r="J63" s="3"/>
      <c r="K63" s="3"/>
      <c r="L63" s="20"/>
    </row>
    <row r="64" spans="3:12" x14ac:dyDescent="0.25">
      <c r="D64" s="1"/>
      <c r="E64" s="1"/>
      <c r="F64" s="1"/>
      <c r="G64" s="1"/>
      <c r="H64" s="1"/>
      <c r="I64" s="1"/>
      <c r="J64" s="3"/>
      <c r="K64" s="3"/>
      <c r="L64" s="20"/>
    </row>
    <row r="65" spans="4:12" x14ac:dyDescent="0.25">
      <c r="D65" s="1"/>
      <c r="E65" s="1"/>
      <c r="F65" s="1"/>
      <c r="G65" s="1"/>
      <c r="H65" s="1"/>
      <c r="I65" s="1"/>
      <c r="J65" s="3"/>
      <c r="K65" s="3"/>
      <c r="L65" s="20"/>
    </row>
    <row r="66" spans="4:12" x14ac:dyDescent="0.25">
      <c r="D66" s="1"/>
      <c r="E66" s="1"/>
      <c r="F66" s="1"/>
      <c r="G66" s="1"/>
      <c r="H66" s="1"/>
      <c r="I66" s="1"/>
      <c r="J66" s="3"/>
      <c r="K66" s="3"/>
      <c r="L66" s="20"/>
    </row>
    <row r="67" spans="4:12" x14ac:dyDescent="0.25">
      <c r="D67" s="1"/>
      <c r="E67" s="1"/>
      <c r="F67" s="1"/>
      <c r="G67" s="1"/>
      <c r="H67" s="1"/>
      <c r="I67" s="1"/>
      <c r="J67" s="3"/>
      <c r="K67" s="3"/>
      <c r="L67" s="20"/>
    </row>
    <row r="68" spans="4:12" x14ac:dyDescent="0.25">
      <c r="D68" s="1"/>
      <c r="E68" s="1"/>
      <c r="F68" s="1"/>
      <c r="G68" s="1"/>
      <c r="H68" s="1"/>
      <c r="I68" s="1"/>
      <c r="J68" s="3"/>
      <c r="K68" s="3"/>
      <c r="L68" s="20"/>
    </row>
    <row r="69" spans="4:12" x14ac:dyDescent="0.25">
      <c r="D69" s="1"/>
      <c r="E69" s="1"/>
      <c r="F69" s="1"/>
      <c r="G69" s="1"/>
      <c r="H69" s="1"/>
      <c r="I69" s="1"/>
      <c r="J69" s="3"/>
      <c r="K69" s="3"/>
      <c r="L69" s="20"/>
    </row>
  </sheetData>
  <mergeCells count="7">
    <mergeCell ref="K3:K4"/>
    <mergeCell ref="D3:F3"/>
    <mergeCell ref="G3:I3"/>
    <mergeCell ref="J3:J4"/>
    <mergeCell ref="A3:A4"/>
    <mergeCell ref="B3:B4"/>
    <mergeCell ref="C3:C4"/>
  </mergeCells>
  <pageMargins left="0.7" right="0.7" top="0.75" bottom="0.75" header="0.3" footer="0.3"/>
  <pageSetup scale="62" orientation="landscape" horizontalDpi="300" verticalDpi="300" r:id="rId1"/>
  <headerFooter>
    <oddHeader>&amp;LBCA Analysis&amp;CIron Horse - Ped and Bike Improvements</oddHeader>
    <oddFooter>&amp;RPage 5 of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BB5E9-0AE7-4558-9634-FD0A3A1B54B3}">
  <sheetPr>
    <tabColor theme="5" tint="0.59999389629810485"/>
    <pageSetUpPr fitToPage="1"/>
  </sheetPr>
  <dimension ref="A1:K69"/>
  <sheetViews>
    <sheetView zoomScale="80" zoomScaleNormal="80" workbookViewId="0">
      <selection activeCell="D12" sqref="D12"/>
    </sheetView>
  </sheetViews>
  <sheetFormatPr defaultColWidth="8.85546875" defaultRowHeight="15" x14ac:dyDescent="0.25"/>
  <cols>
    <col min="1" max="1" width="12.85546875" style="53" customWidth="1"/>
    <col min="2" max="3" width="10.7109375" style="53" customWidth="1"/>
    <col min="4" max="4" width="20.5703125" style="53" bestFit="1" customWidth="1"/>
    <col min="5" max="5" width="21" style="53" bestFit="1" customWidth="1"/>
    <col min="6" max="6" width="16.42578125" style="53" bestFit="1" customWidth="1"/>
    <col min="7" max="9" width="17.140625" style="53" customWidth="1"/>
    <col min="10" max="10" width="12.7109375" style="53" bestFit="1" customWidth="1"/>
    <col min="11" max="16384" width="8.85546875" style="53"/>
  </cols>
  <sheetData>
    <row r="1" spans="1:11" ht="18.75" x14ac:dyDescent="0.3">
      <c r="A1" s="76" t="s">
        <v>5</v>
      </c>
    </row>
    <row r="2" spans="1:11" ht="15.75" thickBot="1" x14ac:dyDescent="0.3"/>
    <row r="3" spans="1:11" ht="48.75" customHeight="1" x14ac:dyDescent="0.25">
      <c r="A3" s="330" t="s">
        <v>1</v>
      </c>
      <c r="B3" s="332" t="s">
        <v>2</v>
      </c>
      <c r="C3" s="346" t="s">
        <v>21</v>
      </c>
      <c r="D3" s="348" t="s">
        <v>271</v>
      </c>
      <c r="E3" s="341"/>
      <c r="F3" s="349"/>
      <c r="G3" s="341" t="s">
        <v>262</v>
      </c>
      <c r="H3" s="338" t="s">
        <v>263</v>
      </c>
      <c r="I3" s="27"/>
    </row>
    <row r="4" spans="1:11" ht="28.5" customHeight="1" thickBot="1" x14ac:dyDescent="0.3">
      <c r="A4" s="344"/>
      <c r="B4" s="345"/>
      <c r="C4" s="347"/>
      <c r="D4" s="30" t="s">
        <v>269</v>
      </c>
      <c r="E4" s="314" t="s">
        <v>270</v>
      </c>
      <c r="F4" s="50" t="s">
        <v>31</v>
      </c>
      <c r="G4" s="343"/>
      <c r="H4" s="339"/>
      <c r="I4" s="27"/>
      <c r="J4" s="20"/>
      <c r="K4" s="20"/>
    </row>
    <row r="5" spans="1:11" x14ac:dyDescent="0.25">
      <c r="A5" s="133">
        <v>2021</v>
      </c>
      <c r="B5" s="134">
        <v>0</v>
      </c>
      <c r="C5" s="135">
        <v>1</v>
      </c>
      <c r="D5" s="138"/>
      <c r="E5" s="171"/>
      <c r="F5" s="139"/>
      <c r="G5" s="171">
        <f t="shared" ref="G5:G41" si="0">SUM(D5:F5)</f>
        <v>0</v>
      </c>
      <c r="H5" s="177">
        <f>G5/(1.07^($A5-$A$5))</f>
        <v>0</v>
      </c>
      <c r="I5" s="20"/>
    </row>
    <row r="6" spans="1:11" x14ac:dyDescent="0.25">
      <c r="A6" s="108">
        <v>2022</v>
      </c>
      <c r="B6" s="103">
        <v>0</v>
      </c>
      <c r="C6" s="109">
        <v>2</v>
      </c>
      <c r="D6" s="122"/>
      <c r="E6" s="172"/>
      <c r="F6" s="123"/>
      <c r="G6" s="172">
        <f t="shared" si="0"/>
        <v>0</v>
      </c>
      <c r="H6" s="177">
        <f t="shared" ref="H6:H41" si="1">G6/(1.07^($A6-$A$5))</f>
        <v>0</v>
      </c>
      <c r="I6" s="20"/>
    </row>
    <row r="7" spans="1:11" x14ac:dyDescent="0.25">
      <c r="A7" s="108">
        <v>2023</v>
      </c>
      <c r="B7" s="103">
        <v>0</v>
      </c>
      <c r="C7" s="109">
        <v>3</v>
      </c>
      <c r="D7" s="122"/>
      <c r="E7" s="172"/>
      <c r="F7" s="123"/>
      <c r="G7" s="172">
        <f t="shared" si="0"/>
        <v>0</v>
      </c>
      <c r="H7" s="177">
        <f t="shared" si="1"/>
        <v>0</v>
      </c>
    </row>
    <row r="8" spans="1:11" x14ac:dyDescent="0.25">
      <c r="A8" s="108">
        <v>2024</v>
      </c>
      <c r="B8" s="103">
        <v>0</v>
      </c>
      <c r="C8" s="109">
        <v>4</v>
      </c>
      <c r="D8" s="122"/>
      <c r="E8" s="172"/>
      <c r="F8" s="123"/>
      <c r="G8" s="172">
        <f t="shared" si="0"/>
        <v>0</v>
      </c>
      <c r="H8" s="177">
        <f t="shared" si="1"/>
        <v>0</v>
      </c>
      <c r="I8" s="25"/>
      <c r="K8" s="20"/>
    </row>
    <row r="9" spans="1:11" x14ac:dyDescent="0.25">
      <c r="A9" s="108">
        <v>2025</v>
      </c>
      <c r="B9" s="103">
        <v>0</v>
      </c>
      <c r="C9" s="109">
        <v>5</v>
      </c>
      <c r="D9" s="122"/>
      <c r="E9" s="172"/>
      <c r="F9" s="123"/>
      <c r="G9" s="172">
        <f t="shared" si="0"/>
        <v>0</v>
      </c>
      <c r="H9" s="177">
        <f t="shared" si="1"/>
        <v>0</v>
      </c>
      <c r="I9" s="25"/>
      <c r="J9" s="3"/>
      <c r="K9" s="20"/>
    </row>
    <row r="10" spans="1:11" x14ac:dyDescent="0.25">
      <c r="A10" s="108">
        <v>2026</v>
      </c>
      <c r="B10" s="103">
        <v>0</v>
      </c>
      <c r="C10" s="109">
        <v>6</v>
      </c>
      <c r="D10" s="122"/>
      <c r="E10" s="172"/>
      <c r="F10" s="123"/>
      <c r="G10" s="172">
        <f t="shared" si="0"/>
        <v>0</v>
      </c>
      <c r="H10" s="177">
        <f t="shared" si="1"/>
        <v>0</v>
      </c>
      <c r="I10" s="25"/>
      <c r="J10" s="3"/>
      <c r="K10" s="20"/>
    </row>
    <row r="11" spans="1:11" x14ac:dyDescent="0.25">
      <c r="A11" s="110">
        <v>2027</v>
      </c>
      <c r="B11" s="104">
        <v>1</v>
      </c>
      <c r="C11" s="111">
        <v>7</v>
      </c>
      <c r="D11" s="124">
        <f>'GAP CLOSURE'!F9</f>
        <v>596160</v>
      </c>
      <c r="E11" s="173">
        <f>'GAP CLOSURE'!F10</f>
        <v>245203.20000000001</v>
      </c>
      <c r="F11" s="125">
        <f>SUM(XING!F9:F14)</f>
        <v>1610871.0278095237</v>
      </c>
      <c r="G11" s="173">
        <f t="shared" si="0"/>
        <v>2452234.2278095237</v>
      </c>
      <c r="H11" s="178">
        <f t="shared" si="1"/>
        <v>1634027.2086775664</v>
      </c>
      <c r="I11" s="20" t="s">
        <v>27</v>
      </c>
      <c r="J11" s="3"/>
      <c r="K11" s="20"/>
    </row>
    <row r="12" spans="1:11" x14ac:dyDescent="0.25">
      <c r="A12" s="112">
        <v>2028</v>
      </c>
      <c r="B12" s="105">
        <v>2</v>
      </c>
      <c r="C12" s="113">
        <v>8</v>
      </c>
      <c r="D12" s="126">
        <f>D$11*(CatchmentAreaPopulation!$B4/CatchmentAreaPopulation!$B$3)</f>
        <v>596656.79999999993</v>
      </c>
      <c r="E12" s="174">
        <f>E$11*(CatchmentAreaPopulation!$B4/CatchmentAreaPopulation!$B$3)</f>
        <v>245407.53599999999</v>
      </c>
      <c r="F12" s="127">
        <f>F$11*(CatchmentAreaPopulation!$B4/CatchmentAreaPopulation!$B$3)</f>
        <v>1612213.4203326982</v>
      </c>
      <c r="G12" s="174">
        <f t="shared" si="0"/>
        <v>2454277.7563326983</v>
      </c>
      <c r="H12" s="179">
        <f t="shared" si="1"/>
        <v>1528400.8392692814</v>
      </c>
      <c r="I12" s="25"/>
      <c r="J12" s="3"/>
      <c r="K12" s="20"/>
    </row>
    <row r="13" spans="1:11" x14ac:dyDescent="0.25">
      <c r="A13" s="114">
        <v>2029</v>
      </c>
      <c r="B13" s="106">
        <v>3</v>
      </c>
      <c r="C13" s="115">
        <v>9</v>
      </c>
      <c r="D13" s="128">
        <f>D$11*(CatchmentAreaPopulation!$B5/CatchmentAreaPopulation!$B$3)</f>
        <v>597153.6</v>
      </c>
      <c r="E13" s="315">
        <f>E$11*(CatchmentAreaPopulation!$B5/CatchmentAreaPopulation!$B$3)</f>
        <v>245611.87200000003</v>
      </c>
      <c r="F13" s="129">
        <f>F$11*(CatchmentAreaPopulation!$B5/CatchmentAreaPopulation!$B$3)</f>
        <v>1613555.812855873</v>
      </c>
      <c r="G13" s="175">
        <f t="shared" si="0"/>
        <v>2456321.2848558733</v>
      </c>
      <c r="H13" s="180">
        <f t="shared" si="1"/>
        <v>1429601.3515230115</v>
      </c>
      <c r="I13" s="25"/>
      <c r="J13" s="3"/>
      <c r="K13" s="20"/>
    </row>
    <row r="14" spans="1:11" x14ac:dyDescent="0.25">
      <c r="A14" s="112">
        <v>2030</v>
      </c>
      <c r="B14" s="106">
        <v>4</v>
      </c>
      <c r="C14" s="115">
        <v>10</v>
      </c>
      <c r="D14" s="128">
        <f>D$11*(CatchmentAreaPopulation!$B6/CatchmentAreaPopulation!$B$3)</f>
        <v>597650.4</v>
      </c>
      <c r="E14" s="315">
        <f>E$11*(CatchmentAreaPopulation!$B6/CatchmentAreaPopulation!$B$3)</f>
        <v>245816.20799999998</v>
      </c>
      <c r="F14" s="129">
        <f>F$11*(CatchmentAreaPopulation!$B6/CatchmentAreaPopulation!$B$3)</f>
        <v>1614898.2053790474</v>
      </c>
      <c r="G14" s="175">
        <f t="shared" si="0"/>
        <v>2458364.8133790474</v>
      </c>
      <c r="H14" s="180">
        <f t="shared" si="1"/>
        <v>1337187.5735784459</v>
      </c>
      <c r="I14" s="25"/>
      <c r="J14" s="3"/>
      <c r="K14" s="20"/>
    </row>
    <row r="15" spans="1:11" x14ac:dyDescent="0.25">
      <c r="A15" s="114">
        <v>2031</v>
      </c>
      <c r="B15" s="106">
        <v>5</v>
      </c>
      <c r="C15" s="115">
        <v>11</v>
      </c>
      <c r="D15" s="128">
        <f>D$11*(CatchmentAreaPopulation!$B7/CatchmentAreaPopulation!$B$3)</f>
        <v>598147.20000000007</v>
      </c>
      <c r="E15" s="315">
        <f>E$11*(CatchmentAreaPopulation!$B7/CatchmentAreaPopulation!$B$3)</f>
        <v>246020.54400000002</v>
      </c>
      <c r="F15" s="129">
        <f>F$11*(CatchmentAreaPopulation!$B7/CatchmentAreaPopulation!$B$3)</f>
        <v>1616240.5979022223</v>
      </c>
      <c r="G15" s="175">
        <f t="shared" si="0"/>
        <v>2460408.3419022225</v>
      </c>
      <c r="H15" s="180">
        <f t="shared" si="1"/>
        <v>1250746.8389683496</v>
      </c>
      <c r="I15" s="25"/>
      <c r="J15" s="3"/>
      <c r="K15" s="20"/>
    </row>
    <row r="16" spans="1:11" x14ac:dyDescent="0.25">
      <c r="A16" s="112">
        <v>2032</v>
      </c>
      <c r="B16" s="106">
        <v>6</v>
      </c>
      <c r="C16" s="115">
        <v>12</v>
      </c>
      <c r="D16" s="128">
        <f>D$11*(CatchmentAreaPopulation!$B8/CatchmentAreaPopulation!$B$3)</f>
        <v>598644</v>
      </c>
      <c r="E16" s="315">
        <f>E$11*(CatchmentAreaPopulation!$B8/CatchmentAreaPopulation!$B$3)</f>
        <v>246224.88</v>
      </c>
      <c r="F16" s="129">
        <f>F$11*(CatchmentAreaPopulation!$B8/CatchmentAreaPopulation!$B$3)</f>
        <v>1617582.9904253967</v>
      </c>
      <c r="G16" s="175">
        <f t="shared" si="0"/>
        <v>2462451.8704253966</v>
      </c>
      <c r="H16" s="180">
        <f t="shared" si="1"/>
        <v>1169893.1450902449</v>
      </c>
      <c r="I16" s="25"/>
      <c r="J16" s="3"/>
      <c r="K16" s="20"/>
    </row>
    <row r="17" spans="1:11" x14ac:dyDescent="0.25">
      <c r="A17" s="114">
        <v>2033</v>
      </c>
      <c r="B17" s="106">
        <v>7</v>
      </c>
      <c r="C17" s="115">
        <v>13</v>
      </c>
      <c r="D17" s="128">
        <f>D$11*(CatchmentAreaPopulation!$B9/CatchmentAreaPopulation!$B$3)</f>
        <v>599140.79999999993</v>
      </c>
      <c r="E17" s="315">
        <f>E$11*(CatchmentAreaPopulation!$B9/CatchmentAreaPopulation!$B$3)</f>
        <v>246429.21599999999</v>
      </c>
      <c r="F17" s="129">
        <f>F$11*(CatchmentAreaPopulation!$B9/CatchmentAreaPopulation!$B$3)</f>
        <v>1618925.3829485711</v>
      </c>
      <c r="G17" s="175">
        <f t="shared" si="0"/>
        <v>2464495.3989485712</v>
      </c>
      <c r="H17" s="180">
        <f t="shared" si="1"/>
        <v>1094265.4306269325</v>
      </c>
      <c r="I17" s="25"/>
      <c r="J17" s="3"/>
      <c r="K17" s="20"/>
    </row>
    <row r="18" spans="1:11" x14ac:dyDescent="0.25">
      <c r="A18" s="112">
        <v>2034</v>
      </c>
      <c r="B18" s="106">
        <v>8</v>
      </c>
      <c r="C18" s="115">
        <v>14</v>
      </c>
      <c r="D18" s="128">
        <f>D$11*(CatchmentAreaPopulation!$B10/CatchmentAreaPopulation!$B$3)</f>
        <v>599637.6</v>
      </c>
      <c r="E18" s="315">
        <f>E$11*(CatchmentAreaPopulation!$B10/CatchmentAreaPopulation!$B$3)</f>
        <v>246633.55200000003</v>
      </c>
      <c r="F18" s="129">
        <f>F$11*(CatchmentAreaPopulation!$B10/CatchmentAreaPopulation!$B$3)</f>
        <v>1620267.775471746</v>
      </c>
      <c r="G18" s="175">
        <f t="shared" si="0"/>
        <v>2466538.9274717458</v>
      </c>
      <c r="H18" s="180">
        <f t="shared" si="1"/>
        <v>1023525.9642338987</v>
      </c>
      <c r="I18" s="25"/>
      <c r="J18" s="3"/>
      <c r="K18" s="20"/>
    </row>
    <row r="19" spans="1:11" x14ac:dyDescent="0.25">
      <c r="A19" s="114">
        <v>2035</v>
      </c>
      <c r="B19" s="106">
        <v>9</v>
      </c>
      <c r="C19" s="115">
        <v>15</v>
      </c>
      <c r="D19" s="128">
        <f>D$11*(CatchmentAreaPopulation!$B11/CatchmentAreaPopulation!$B$3)</f>
        <v>600134.39999999991</v>
      </c>
      <c r="E19" s="315">
        <f>E$11*(CatchmentAreaPopulation!$B11/CatchmentAreaPopulation!$B$3)</f>
        <v>246837.88800000001</v>
      </c>
      <c r="F19" s="129">
        <f>F$11*(CatchmentAreaPopulation!$B11/CatchmentAreaPopulation!$B$3)</f>
        <v>1621610.1679949204</v>
      </c>
      <c r="G19" s="175">
        <f t="shared" si="0"/>
        <v>2468582.4559949203</v>
      </c>
      <c r="H19" s="180">
        <f t="shared" si="1"/>
        <v>957358.83730772184</v>
      </c>
      <c r="I19" s="25"/>
      <c r="J19" s="3"/>
      <c r="K19" s="20"/>
    </row>
    <row r="20" spans="1:11" x14ac:dyDescent="0.25">
      <c r="A20" s="112">
        <v>2036</v>
      </c>
      <c r="B20" s="106">
        <v>10</v>
      </c>
      <c r="C20" s="115">
        <v>16</v>
      </c>
      <c r="D20" s="128">
        <f>D$11*(CatchmentAreaPopulation!$B12/CatchmentAreaPopulation!$B$3)</f>
        <v>600631.20000000007</v>
      </c>
      <c r="E20" s="315">
        <f>E$11*(CatchmentAreaPopulation!$B12/CatchmentAreaPopulation!$B$3)</f>
        <v>247042.22400000002</v>
      </c>
      <c r="F20" s="129">
        <f>F$11*(CatchmentAreaPopulation!$B12/CatchmentAreaPopulation!$B$3)</f>
        <v>1622952.5605180953</v>
      </c>
      <c r="G20" s="175">
        <f t="shared" si="0"/>
        <v>2470625.9845180954</v>
      </c>
      <c r="H20" s="180">
        <f t="shared" si="1"/>
        <v>895468.55411356979</v>
      </c>
      <c r="I20" s="25"/>
      <c r="J20" s="20"/>
      <c r="K20" s="20"/>
    </row>
    <row r="21" spans="1:11" x14ac:dyDescent="0.25">
      <c r="A21" s="114">
        <v>2037</v>
      </c>
      <c r="B21" s="106">
        <v>11</v>
      </c>
      <c r="C21" s="115">
        <v>17</v>
      </c>
      <c r="D21" s="128">
        <f>D$11*(CatchmentAreaPopulation!$B13/CatchmentAreaPopulation!$B$3)</f>
        <v>601128</v>
      </c>
      <c r="E21" s="315">
        <f>E$11*(CatchmentAreaPopulation!$B13/CatchmentAreaPopulation!$B$3)</f>
        <v>247246.56</v>
      </c>
      <c r="F21" s="129">
        <f>F$11*(CatchmentAreaPopulation!$B13/CatchmentAreaPopulation!$B$3)</f>
        <v>1624294.9530412697</v>
      </c>
      <c r="G21" s="175">
        <f t="shared" si="0"/>
        <v>2472669.51304127</v>
      </c>
      <c r="H21" s="180">
        <f t="shared" si="1"/>
        <v>837578.7129839441</v>
      </c>
      <c r="I21" s="25"/>
      <c r="J21" s="20"/>
      <c r="K21" s="20"/>
    </row>
    <row r="22" spans="1:11" x14ac:dyDescent="0.25">
      <c r="A22" s="112">
        <v>2038</v>
      </c>
      <c r="B22" s="106">
        <v>12</v>
      </c>
      <c r="C22" s="115">
        <v>18</v>
      </c>
      <c r="D22" s="128">
        <f>D$11*(CatchmentAreaPopulation!$B14/CatchmentAreaPopulation!$B$3)</f>
        <v>601624.80000000005</v>
      </c>
      <c r="E22" s="315">
        <f>E$11*(CatchmentAreaPopulation!$B14/CatchmentAreaPopulation!$B$3)</f>
        <v>247450.89600000004</v>
      </c>
      <c r="F22" s="129">
        <f>F$11*(CatchmentAreaPopulation!$B14/CatchmentAreaPopulation!$B$3)</f>
        <v>1625637.3455644445</v>
      </c>
      <c r="G22" s="175">
        <f t="shared" si="0"/>
        <v>2474713.0415644445</v>
      </c>
      <c r="H22" s="180">
        <f t="shared" si="1"/>
        <v>783430.7727068481</v>
      </c>
      <c r="I22" s="25"/>
      <c r="J22" s="20"/>
      <c r="K22" s="20"/>
    </row>
    <row r="23" spans="1:11" x14ac:dyDescent="0.25">
      <c r="A23" s="114">
        <v>2039</v>
      </c>
      <c r="B23" s="106">
        <v>13</v>
      </c>
      <c r="C23" s="115">
        <v>19</v>
      </c>
      <c r="D23" s="128">
        <f>D$11*(CatchmentAreaPopulation!$B15/CatchmentAreaPopulation!$B$3)</f>
        <v>602121.6</v>
      </c>
      <c r="E23" s="315">
        <f>E$11*(CatchmentAreaPopulation!$B15/CatchmentAreaPopulation!$B$3)</f>
        <v>247655.23200000002</v>
      </c>
      <c r="F23" s="129">
        <f>F$11*(CatchmentAreaPopulation!$B15/CatchmentAreaPopulation!$B$3)</f>
        <v>1626979.738087619</v>
      </c>
      <c r="G23" s="175">
        <f t="shared" si="0"/>
        <v>2476756.5700876191</v>
      </c>
      <c r="H23" s="180">
        <f t="shared" si="1"/>
        <v>732782.89860137203</v>
      </c>
      <c r="I23" s="25"/>
    </row>
    <row r="24" spans="1:11" ht="15.75" customHeight="1" x14ac:dyDescent="0.25">
      <c r="A24" s="112">
        <v>2040</v>
      </c>
      <c r="B24" s="106">
        <v>14</v>
      </c>
      <c r="C24" s="115">
        <v>20</v>
      </c>
      <c r="D24" s="128">
        <f>D$11*(CatchmentAreaPopulation!$B16/CatchmentAreaPopulation!$B$3)</f>
        <v>602618.39999999991</v>
      </c>
      <c r="E24" s="315">
        <f>E$11*(CatchmentAreaPopulation!$B16/CatchmentAreaPopulation!$B$3)</f>
        <v>247859.568</v>
      </c>
      <c r="F24" s="129">
        <f>F$11*(CatchmentAreaPopulation!$B16/CatchmentAreaPopulation!$B$3)</f>
        <v>1628322.1306107934</v>
      </c>
      <c r="G24" s="175">
        <f t="shared" si="0"/>
        <v>2478800.0986107932</v>
      </c>
      <c r="H24" s="180">
        <f t="shared" si="1"/>
        <v>685408.88313397497</v>
      </c>
      <c r="I24" s="25"/>
    </row>
    <row r="25" spans="1:11" x14ac:dyDescent="0.25">
      <c r="A25" s="114">
        <v>2041</v>
      </c>
      <c r="B25" s="106">
        <v>15</v>
      </c>
      <c r="C25" s="115">
        <v>21</v>
      </c>
      <c r="D25" s="128">
        <f>D$11*(CatchmentAreaPopulation!$B17/CatchmentAreaPopulation!$B$3)</f>
        <v>603115.20000000007</v>
      </c>
      <c r="E25" s="315">
        <f>E$11*(CatchmentAreaPopulation!$B17/CatchmentAreaPopulation!$B$3)</f>
        <v>248063.90400000001</v>
      </c>
      <c r="F25" s="129">
        <f>F$11*(CatchmentAreaPopulation!$B17/CatchmentAreaPopulation!$B$3)</f>
        <v>1629664.5231339682</v>
      </c>
      <c r="G25" s="175">
        <f t="shared" si="0"/>
        <v>2480843.6271339683</v>
      </c>
      <c r="H25" s="180">
        <f t="shared" si="1"/>
        <v>641097.13626110123</v>
      </c>
      <c r="I25" s="25"/>
    </row>
    <row r="26" spans="1:11" x14ac:dyDescent="0.25">
      <c r="A26" s="112">
        <v>2042</v>
      </c>
      <c r="B26" s="106">
        <v>16</v>
      </c>
      <c r="C26" s="115">
        <v>22</v>
      </c>
      <c r="D26" s="128">
        <f>D$11*(CatchmentAreaPopulation!$B18/CatchmentAreaPopulation!$B$3)</f>
        <v>603612</v>
      </c>
      <c r="E26" s="315">
        <f>E$11*(CatchmentAreaPopulation!$B18/CatchmentAreaPopulation!$B$3)</f>
        <v>248268.24</v>
      </c>
      <c r="F26" s="129">
        <f>F$11*(CatchmentAreaPopulation!$B18/CatchmentAreaPopulation!$B$3)</f>
        <v>1631006.9156571426</v>
      </c>
      <c r="G26" s="175">
        <f t="shared" si="0"/>
        <v>2482887.1556571424</v>
      </c>
      <c r="H26" s="180">
        <f t="shared" si="1"/>
        <v>599649.74099465564</v>
      </c>
      <c r="I26" s="25"/>
    </row>
    <row r="27" spans="1:11" x14ac:dyDescent="0.25">
      <c r="A27" s="114">
        <v>2043</v>
      </c>
      <c r="B27" s="106">
        <v>17</v>
      </c>
      <c r="C27" s="115">
        <v>23</v>
      </c>
      <c r="D27" s="128">
        <f>D$11*(CatchmentAreaPopulation!$B19/CatchmentAreaPopulation!$B$3)</f>
        <v>604108.80000000005</v>
      </c>
      <c r="E27" s="315">
        <f>E$11*(CatchmentAreaPopulation!$B19/CatchmentAreaPopulation!$B$3)</f>
        <v>248472.57600000003</v>
      </c>
      <c r="F27" s="129">
        <f>F$11*(CatchmentAreaPopulation!$B19/CatchmentAreaPopulation!$B$3)</f>
        <v>1632349.3081803175</v>
      </c>
      <c r="G27" s="175">
        <f t="shared" si="0"/>
        <v>2484930.6841803174</v>
      </c>
      <c r="H27" s="180">
        <f t="shared" si="1"/>
        <v>560881.56997769419</v>
      </c>
      <c r="I27" s="25"/>
    </row>
    <row r="28" spans="1:11" x14ac:dyDescent="0.25">
      <c r="A28" s="112">
        <v>2044</v>
      </c>
      <c r="B28" s="106">
        <v>18</v>
      </c>
      <c r="C28" s="115">
        <v>24</v>
      </c>
      <c r="D28" s="128">
        <f>D$11*(CatchmentAreaPopulation!$B20/CatchmentAreaPopulation!$B$3)</f>
        <v>604605.6</v>
      </c>
      <c r="E28" s="315">
        <f>E$11*(CatchmentAreaPopulation!$B20/CatchmentAreaPopulation!$B$3)</f>
        <v>248676.91200000001</v>
      </c>
      <c r="F28" s="129">
        <f>F$11*(CatchmentAreaPopulation!$B20/CatchmentAreaPopulation!$B$3)</f>
        <v>1633691.7007034919</v>
      </c>
      <c r="G28" s="175">
        <f t="shared" si="0"/>
        <v>2486974.212703492</v>
      </c>
      <c r="H28" s="180">
        <f t="shared" si="1"/>
        <v>524619.45912971429</v>
      </c>
      <c r="I28" s="25"/>
    </row>
    <row r="29" spans="1:11" x14ac:dyDescent="0.25">
      <c r="A29" s="114">
        <v>2045</v>
      </c>
      <c r="B29" s="106">
        <v>19</v>
      </c>
      <c r="C29" s="115">
        <v>25</v>
      </c>
      <c r="D29" s="128">
        <f>D$11*(CatchmentAreaPopulation!$B21/CatchmentAreaPopulation!$B$3)</f>
        <v>605102.39999999991</v>
      </c>
      <c r="E29" s="315">
        <f>E$11*(CatchmentAreaPopulation!$B21/CatchmentAreaPopulation!$B$3)</f>
        <v>248881.24799999999</v>
      </c>
      <c r="F29" s="129">
        <f>F$11*(CatchmentAreaPopulation!$B21/CatchmentAreaPopulation!$B$3)</f>
        <v>1635034.0932266663</v>
      </c>
      <c r="G29" s="175">
        <f t="shared" si="0"/>
        <v>2489017.7412266661</v>
      </c>
      <c r="H29" s="180">
        <f t="shared" si="1"/>
        <v>490701.43467542512</v>
      </c>
      <c r="I29" s="25"/>
    </row>
    <row r="30" spans="1:11" x14ac:dyDescent="0.25">
      <c r="A30" s="112">
        <v>2046</v>
      </c>
      <c r="B30" s="106">
        <v>20</v>
      </c>
      <c r="C30" s="115">
        <v>26</v>
      </c>
      <c r="D30" s="128">
        <f>D$11*(CatchmentAreaPopulation!$B22/CatchmentAreaPopulation!$B$3)</f>
        <v>605599.20000000007</v>
      </c>
      <c r="E30" s="315">
        <f>E$11*(CatchmentAreaPopulation!$B22/CatchmentAreaPopulation!$B$3)</f>
        <v>249085.58400000003</v>
      </c>
      <c r="F30" s="129">
        <f>F$11*(CatchmentAreaPopulation!$B22/CatchmentAreaPopulation!$B$3)</f>
        <v>1636376.4857498412</v>
      </c>
      <c r="G30" s="175">
        <f t="shared" si="0"/>
        <v>2491061.2697498412</v>
      </c>
      <c r="H30" s="180">
        <f t="shared" si="1"/>
        <v>458975.99010891403</v>
      </c>
      <c r="I30" s="25"/>
    </row>
    <row r="31" spans="1:11" x14ac:dyDescent="0.25">
      <c r="A31" s="110">
        <v>2047</v>
      </c>
      <c r="B31" s="104">
        <v>21</v>
      </c>
      <c r="C31" s="111">
        <v>27</v>
      </c>
      <c r="D31" s="124">
        <f>D$11*(CatchmentAreaPopulation!$B23/CatchmentAreaPopulation!$B$3)</f>
        <v>606096</v>
      </c>
      <c r="E31" s="173">
        <f>E$11*(CatchmentAreaPopulation!$B23/CatchmentAreaPopulation!$B$3)</f>
        <v>249289.91999999998</v>
      </c>
      <c r="F31" s="125">
        <f>F$11*(CatchmentAreaPopulation!$B23/CatchmentAreaPopulation!$B$3)</f>
        <v>1637718.8782730156</v>
      </c>
      <c r="G31" s="173">
        <f t="shared" si="0"/>
        <v>2493104.7982730158</v>
      </c>
      <c r="H31" s="178">
        <f t="shared" si="1"/>
        <v>429301.40986780578</v>
      </c>
      <c r="I31" s="20" t="s">
        <v>96</v>
      </c>
    </row>
    <row r="32" spans="1:11" x14ac:dyDescent="0.25">
      <c r="A32" s="112">
        <v>2048</v>
      </c>
      <c r="B32" s="106">
        <v>22</v>
      </c>
      <c r="C32" s="115">
        <v>28</v>
      </c>
      <c r="D32" s="128">
        <f>D$11*(CatchmentAreaPopulation!$B24/CatchmentAreaPopulation!$B$3)</f>
        <v>606592.80000000005</v>
      </c>
      <c r="E32" s="315">
        <f>E$11*(CatchmentAreaPopulation!$B24/CatchmentAreaPopulation!$B$3)</f>
        <v>249494.25600000002</v>
      </c>
      <c r="F32" s="129">
        <f>F$11*(CatchmentAreaPopulation!$B24/CatchmentAreaPopulation!$B$3)</f>
        <v>1639061.2707961905</v>
      </c>
      <c r="G32" s="175">
        <f t="shared" si="0"/>
        <v>2495148.3267961908</v>
      </c>
      <c r="H32" s="180">
        <f t="shared" si="1"/>
        <v>401545.13670031476</v>
      </c>
      <c r="I32" s="25"/>
    </row>
    <row r="33" spans="1:9" x14ac:dyDescent="0.25">
      <c r="A33" s="114">
        <v>2049</v>
      </c>
      <c r="B33" s="106">
        <v>23</v>
      </c>
      <c r="C33" s="115">
        <v>29</v>
      </c>
      <c r="D33" s="128">
        <f>D$11*(CatchmentAreaPopulation!$B25/CatchmentAreaPopulation!$B$3)</f>
        <v>607089.6</v>
      </c>
      <c r="E33" s="315">
        <f>E$11*(CatchmentAreaPopulation!$B25/CatchmentAreaPopulation!$B$3)</f>
        <v>249698.592</v>
      </c>
      <c r="F33" s="129">
        <f>F$11*(CatchmentAreaPopulation!$B25/CatchmentAreaPopulation!$B$3)</f>
        <v>1640403.6633193649</v>
      </c>
      <c r="G33" s="175">
        <f t="shared" si="0"/>
        <v>2497191.8553193649</v>
      </c>
      <c r="H33" s="180">
        <f t="shared" si="1"/>
        <v>375583.17990293278</v>
      </c>
      <c r="I33" s="25"/>
    </row>
    <row r="34" spans="1:9" x14ac:dyDescent="0.25">
      <c r="A34" s="112">
        <v>2050</v>
      </c>
      <c r="B34" s="106">
        <v>24</v>
      </c>
      <c r="C34" s="115">
        <v>30</v>
      </c>
      <c r="D34" s="128">
        <f>D$11*(CatchmentAreaPopulation!$B26/CatchmentAreaPopulation!$B$3)</f>
        <v>607586.4</v>
      </c>
      <c r="E34" s="315">
        <f>E$11*(CatchmentAreaPopulation!$B26/CatchmentAreaPopulation!$B$3)</f>
        <v>249902.92800000004</v>
      </c>
      <c r="F34" s="129">
        <f>F$11*(CatchmentAreaPopulation!$B26/CatchmentAreaPopulation!$B$3)</f>
        <v>1641746.0558425398</v>
      </c>
      <c r="G34" s="175">
        <f t="shared" si="0"/>
        <v>2499235.38384254</v>
      </c>
      <c r="H34" s="180">
        <f t="shared" si="1"/>
        <v>351299.56178876891</v>
      </c>
      <c r="I34" s="25"/>
    </row>
    <row r="35" spans="1:9" x14ac:dyDescent="0.25">
      <c r="A35" s="114">
        <v>2051</v>
      </c>
      <c r="B35" s="106">
        <v>25</v>
      </c>
      <c r="C35" s="115">
        <v>31</v>
      </c>
      <c r="D35" s="128">
        <f>D$11*(CatchmentAreaPopulation!$B27/CatchmentAreaPopulation!$B$3)</f>
        <v>608083.19999999995</v>
      </c>
      <c r="E35" s="315">
        <f>E$11*(CatchmentAreaPopulation!$B27/CatchmentAreaPopulation!$B$3)</f>
        <v>250107.26400000002</v>
      </c>
      <c r="F35" s="129">
        <f>F$11*(CatchmentAreaPopulation!$B27/CatchmentAreaPopulation!$B$3)</f>
        <v>1643088.4483657142</v>
      </c>
      <c r="G35" s="175">
        <f t="shared" si="0"/>
        <v>2501278.9123657141</v>
      </c>
      <c r="H35" s="180">
        <f t="shared" si="1"/>
        <v>328585.79991705174</v>
      </c>
      <c r="I35" s="25"/>
    </row>
    <row r="36" spans="1:9" x14ac:dyDescent="0.25">
      <c r="A36" s="112">
        <v>2052</v>
      </c>
      <c r="B36" s="106">
        <v>26</v>
      </c>
      <c r="C36" s="115">
        <v>32</v>
      </c>
      <c r="D36" s="128">
        <f>D$11*(CatchmentAreaPopulation!$B28/CatchmentAreaPopulation!$B$3)</f>
        <v>608580</v>
      </c>
      <c r="E36" s="315">
        <f>E$11*(CatchmentAreaPopulation!$B28/CatchmentAreaPopulation!$B$3)</f>
        <v>250311.6</v>
      </c>
      <c r="F36" s="129">
        <f>F$11*(CatchmentAreaPopulation!$B28/CatchmentAreaPopulation!$B$3)</f>
        <v>1644430.8408888888</v>
      </c>
      <c r="G36" s="175">
        <f t="shared" si="0"/>
        <v>2503322.4408888887</v>
      </c>
      <c r="H36" s="180">
        <f t="shared" si="1"/>
        <v>307340.4227737984</v>
      </c>
      <c r="I36" s="25"/>
    </row>
    <row r="37" spans="1:9" x14ac:dyDescent="0.25">
      <c r="A37" s="114">
        <v>2053</v>
      </c>
      <c r="B37" s="106">
        <v>27</v>
      </c>
      <c r="C37" s="115">
        <v>33</v>
      </c>
      <c r="D37" s="128">
        <f>D$11*(CatchmentAreaPopulation!$B29/CatchmentAreaPopulation!$B$3)</f>
        <v>609076.80000000005</v>
      </c>
      <c r="E37" s="315">
        <f>E$11*(CatchmentAreaPopulation!$B29/CatchmentAreaPopulation!$B$3)</f>
        <v>250515.93600000002</v>
      </c>
      <c r="F37" s="129">
        <f>F$11*(CatchmentAreaPopulation!$B29/CatchmentAreaPopulation!$B$3)</f>
        <v>1645773.2334120634</v>
      </c>
      <c r="G37" s="175">
        <f t="shared" si="0"/>
        <v>2505365.9694120632</v>
      </c>
      <c r="H37" s="180">
        <f t="shared" si="1"/>
        <v>287468.51674283954</v>
      </c>
      <c r="I37" s="25"/>
    </row>
    <row r="38" spans="1:9" x14ac:dyDescent="0.25">
      <c r="A38" s="112">
        <v>2054</v>
      </c>
      <c r="B38" s="106">
        <v>28</v>
      </c>
      <c r="C38" s="115">
        <v>34</v>
      </c>
      <c r="D38" s="128">
        <f>D$11*(CatchmentAreaPopulation!$B30/CatchmentAreaPopulation!$B$3)</f>
        <v>609573.6</v>
      </c>
      <c r="E38" s="315">
        <f>E$11*(CatchmentAreaPopulation!$B30/CatchmentAreaPopulation!$B$3)</f>
        <v>250720.272</v>
      </c>
      <c r="F38" s="129">
        <f>F$11*(CatchmentAreaPopulation!$B30/CatchmentAreaPopulation!$B$3)</f>
        <v>1647115.6259352381</v>
      </c>
      <c r="G38" s="175">
        <f t="shared" si="0"/>
        <v>2507409.4979352383</v>
      </c>
      <c r="H38" s="180">
        <f t="shared" si="1"/>
        <v>268881.30234594998</v>
      </c>
      <c r="I38" s="25"/>
    </row>
    <row r="39" spans="1:9" x14ac:dyDescent="0.25">
      <c r="A39" s="114">
        <v>2055</v>
      </c>
      <c r="B39" s="106">
        <v>29</v>
      </c>
      <c r="C39" s="115">
        <v>35</v>
      </c>
      <c r="D39" s="128">
        <f>D$11*(CatchmentAreaPopulation!$B31/CatchmentAreaPopulation!$B$3)</f>
        <v>610070.4</v>
      </c>
      <c r="E39" s="315">
        <f>E$11*(CatchmentAreaPopulation!$B31/CatchmentAreaPopulation!$B$3)</f>
        <v>250924.60800000004</v>
      </c>
      <c r="F39" s="129">
        <f>F$11*(CatchmentAreaPopulation!$B31/CatchmentAreaPopulation!$B$3)</f>
        <v>1648458.0184584127</v>
      </c>
      <c r="G39" s="175">
        <f t="shared" si="0"/>
        <v>2509453.0264584129</v>
      </c>
      <c r="H39" s="180">
        <f t="shared" si="1"/>
        <v>251495.73786137957</v>
      </c>
      <c r="I39" s="25"/>
    </row>
    <row r="40" spans="1:9" x14ac:dyDescent="0.25">
      <c r="A40" s="112">
        <v>2056</v>
      </c>
      <c r="B40" s="106">
        <v>30</v>
      </c>
      <c r="C40" s="115">
        <v>36</v>
      </c>
      <c r="D40" s="128">
        <f>D$11*(CatchmentAreaPopulation!$B32/CatchmentAreaPopulation!$B$3)</f>
        <v>610567.19999999995</v>
      </c>
      <c r="E40" s="315">
        <f>E$11*(CatchmentAreaPopulation!$B32/CatchmentAreaPopulation!$B$3)</f>
        <v>251128.94400000002</v>
      </c>
      <c r="F40" s="129">
        <f>F$11*(CatchmentAreaPopulation!$B32/CatchmentAreaPopulation!$B$3)</f>
        <v>1649800.4109815871</v>
      </c>
      <c r="G40" s="175">
        <f t="shared" si="0"/>
        <v>2511496.554981587</v>
      </c>
      <c r="H40" s="180">
        <f t="shared" si="1"/>
        <v>235234.14855218987</v>
      </c>
      <c r="I40" s="25"/>
    </row>
    <row r="41" spans="1:9" ht="15.75" thickBot="1" x14ac:dyDescent="0.3">
      <c r="A41" s="116">
        <v>2057</v>
      </c>
      <c r="B41" s="117">
        <v>31</v>
      </c>
      <c r="C41" s="118">
        <v>37</v>
      </c>
      <c r="D41" s="231">
        <f>D$11*(CatchmentAreaPopulation!$B33/CatchmentAreaPopulation!$B$3)</f>
        <v>611064</v>
      </c>
      <c r="E41" s="316">
        <f>E$11*(CatchmentAreaPopulation!$B33/CatchmentAreaPopulation!$B$3)</f>
        <v>251333.28</v>
      </c>
      <c r="F41" s="232">
        <f>F$11*(CatchmentAreaPopulation!$B33/CatchmentAreaPopulation!$B$3)</f>
        <v>1651142.8035047618</v>
      </c>
      <c r="G41" s="176">
        <f t="shared" si="0"/>
        <v>2513540.0835047616</v>
      </c>
      <c r="H41" s="193">
        <f t="shared" si="1"/>
        <v>220023.87985003652</v>
      </c>
      <c r="I41" s="25"/>
    </row>
    <row r="42" spans="1:9" ht="15.75" thickBot="1" x14ac:dyDescent="0.3">
      <c r="D42" s="4"/>
      <c r="E42" s="4"/>
      <c r="F42" s="4"/>
      <c r="G42" s="10">
        <f>SUM(G5:G41)</f>
        <v>76969501.825371444</v>
      </c>
      <c r="H42" s="194">
        <f>SUM(H5:H41)</f>
        <v>22092361.438265737</v>
      </c>
      <c r="I42" s="26"/>
    </row>
    <row r="43" spans="1:9" x14ac:dyDescent="0.25">
      <c r="G43" s="4"/>
      <c r="H43" s="4"/>
      <c r="I43" s="4"/>
    </row>
    <row r="44" spans="1:9" x14ac:dyDescent="0.25">
      <c r="C44" s="5"/>
    </row>
    <row r="45" spans="1:9" x14ac:dyDescent="0.25">
      <c r="D45" s="8"/>
      <c r="E45" s="8"/>
      <c r="F45" s="8"/>
      <c r="G45" s="8"/>
      <c r="H45" s="8"/>
    </row>
    <row r="46" spans="1:9" x14ac:dyDescent="0.25">
      <c r="D46" s="2"/>
      <c r="E46" s="2"/>
      <c r="F46" s="2"/>
      <c r="G46" s="2"/>
      <c r="H46" s="2"/>
    </row>
    <row r="47" spans="1:9" x14ac:dyDescent="0.25">
      <c r="D47" s="1"/>
      <c r="E47" s="1"/>
      <c r="F47" s="1"/>
      <c r="G47" s="3"/>
      <c r="H47" s="3"/>
    </row>
    <row r="48" spans="1:9" x14ac:dyDescent="0.25">
      <c r="D48" s="1"/>
      <c r="E48" s="1"/>
      <c r="F48" s="1"/>
      <c r="G48" s="3"/>
      <c r="H48" s="3"/>
    </row>
    <row r="49" spans="3:9" x14ac:dyDescent="0.25">
      <c r="D49" s="1"/>
      <c r="E49" s="1"/>
      <c r="F49" s="1"/>
      <c r="G49" s="3"/>
      <c r="H49" s="3"/>
    </row>
    <row r="50" spans="3:9" x14ac:dyDescent="0.25">
      <c r="D50" s="1"/>
      <c r="E50" s="1"/>
      <c r="F50" s="1"/>
      <c r="G50" s="3"/>
      <c r="H50" s="3"/>
    </row>
    <row r="51" spans="3:9" x14ac:dyDescent="0.25">
      <c r="D51" s="1"/>
      <c r="E51" s="1"/>
      <c r="F51" s="1"/>
      <c r="G51" s="3"/>
      <c r="H51" s="3"/>
      <c r="I51" s="20"/>
    </row>
    <row r="52" spans="3:9" x14ac:dyDescent="0.25">
      <c r="D52" s="1"/>
      <c r="E52" s="1"/>
      <c r="F52" s="1"/>
      <c r="G52" s="3"/>
      <c r="H52" s="3"/>
      <c r="I52" s="20"/>
    </row>
    <row r="53" spans="3:9" x14ac:dyDescent="0.25">
      <c r="C53" s="9"/>
      <c r="D53" s="1"/>
      <c r="E53" s="1"/>
      <c r="F53" s="1"/>
      <c r="G53" s="3"/>
      <c r="H53" s="3"/>
      <c r="I53" s="20"/>
    </row>
    <row r="54" spans="3:9" x14ac:dyDescent="0.25">
      <c r="D54" s="1"/>
      <c r="E54" s="1"/>
      <c r="F54" s="1"/>
      <c r="G54" s="3"/>
      <c r="H54" s="3"/>
      <c r="I54" s="20"/>
    </row>
    <row r="55" spans="3:9" x14ac:dyDescent="0.25">
      <c r="D55" s="1"/>
      <c r="E55" s="1"/>
      <c r="F55" s="1"/>
      <c r="G55" s="3"/>
      <c r="H55" s="3"/>
      <c r="I55" s="20"/>
    </row>
    <row r="56" spans="3:9" x14ac:dyDescent="0.25">
      <c r="D56" s="1"/>
      <c r="E56" s="1"/>
      <c r="F56" s="1"/>
      <c r="G56" s="3"/>
      <c r="H56" s="3"/>
      <c r="I56" s="20"/>
    </row>
    <row r="57" spans="3:9" x14ac:dyDescent="0.25">
      <c r="D57" s="1"/>
      <c r="E57" s="1"/>
      <c r="F57" s="1"/>
      <c r="G57" s="3"/>
      <c r="H57" s="3"/>
      <c r="I57" s="20"/>
    </row>
    <row r="58" spans="3:9" x14ac:dyDescent="0.25">
      <c r="D58" s="1"/>
      <c r="E58" s="1"/>
      <c r="F58" s="1"/>
      <c r="G58" s="3"/>
      <c r="H58" s="3"/>
      <c r="I58" s="20"/>
    </row>
    <row r="59" spans="3:9" x14ac:dyDescent="0.25">
      <c r="D59" s="1"/>
      <c r="E59" s="1"/>
      <c r="F59" s="1"/>
      <c r="G59" s="3"/>
      <c r="H59" s="3"/>
      <c r="I59" s="20"/>
    </row>
    <row r="60" spans="3:9" x14ac:dyDescent="0.25">
      <c r="D60" s="1"/>
      <c r="E60" s="1"/>
      <c r="F60" s="1"/>
      <c r="G60" s="3"/>
      <c r="H60" s="3"/>
      <c r="I60" s="20"/>
    </row>
    <row r="61" spans="3:9" x14ac:dyDescent="0.25">
      <c r="D61" s="1"/>
      <c r="E61" s="1"/>
      <c r="F61" s="1"/>
      <c r="G61" s="3"/>
      <c r="H61" s="3"/>
      <c r="I61" s="20"/>
    </row>
    <row r="62" spans="3:9" x14ac:dyDescent="0.25">
      <c r="D62" s="1"/>
      <c r="E62" s="1"/>
      <c r="F62" s="1"/>
      <c r="G62" s="3"/>
      <c r="H62" s="3"/>
      <c r="I62" s="20"/>
    </row>
    <row r="63" spans="3:9" x14ac:dyDescent="0.25">
      <c r="D63" s="1"/>
      <c r="E63" s="1"/>
      <c r="F63" s="1"/>
      <c r="G63" s="3"/>
      <c r="H63" s="3"/>
      <c r="I63" s="20"/>
    </row>
    <row r="64" spans="3:9" x14ac:dyDescent="0.25">
      <c r="D64" s="1"/>
      <c r="E64" s="1"/>
      <c r="F64" s="1"/>
      <c r="G64" s="3"/>
      <c r="H64" s="3"/>
      <c r="I64" s="20"/>
    </row>
    <row r="65" spans="4:9" x14ac:dyDescent="0.25">
      <c r="D65" s="1"/>
      <c r="E65" s="1"/>
      <c r="F65" s="1"/>
      <c r="G65" s="3"/>
      <c r="H65" s="3"/>
      <c r="I65" s="20"/>
    </row>
    <row r="66" spans="4:9" x14ac:dyDescent="0.25">
      <c r="D66" s="1"/>
      <c r="E66" s="1"/>
      <c r="F66" s="1"/>
      <c r="G66" s="3"/>
      <c r="H66" s="3"/>
      <c r="I66" s="20"/>
    </row>
    <row r="67" spans="4:9" x14ac:dyDescent="0.25">
      <c r="D67" s="1"/>
      <c r="E67" s="1"/>
      <c r="F67" s="1"/>
      <c r="G67" s="3"/>
      <c r="H67" s="3"/>
      <c r="I67" s="20"/>
    </row>
    <row r="68" spans="4:9" x14ac:dyDescent="0.25">
      <c r="D68" s="1"/>
      <c r="E68" s="1"/>
      <c r="F68" s="1"/>
      <c r="G68" s="3"/>
      <c r="H68" s="3"/>
      <c r="I68" s="20"/>
    </row>
    <row r="69" spans="4:9" x14ac:dyDescent="0.25">
      <c r="D69" s="1"/>
      <c r="E69" s="1"/>
      <c r="F69" s="1"/>
      <c r="G69" s="3"/>
      <c r="H69" s="3"/>
      <c r="I69" s="20"/>
    </row>
  </sheetData>
  <mergeCells count="6">
    <mergeCell ref="H3:H4"/>
    <mergeCell ref="A3:A4"/>
    <mergeCell ref="B3:B4"/>
    <mergeCell ref="C3:C4"/>
    <mergeCell ref="D3:F3"/>
    <mergeCell ref="G3:G4"/>
  </mergeCells>
  <pageMargins left="0.7" right="0.7" top="0.75" bottom="0.75" header="0.3" footer="0.3"/>
  <pageSetup scale="77" orientation="landscape" horizontalDpi="300" verticalDpi="300" r:id="rId1"/>
  <headerFooter>
    <oddHeader>&amp;LBCA Analysis&amp;CIron Horse - Ped and Bike Improvements</oddHeader>
    <oddFooter>&amp;RPage 5 of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71CC3-E340-443A-A0E1-2557B9D0B10E}">
  <sheetPr>
    <tabColor theme="6" tint="0.59999389629810485"/>
    <pageSetUpPr fitToPage="1"/>
  </sheetPr>
  <dimension ref="B1:P43"/>
  <sheetViews>
    <sheetView topLeftCell="A4" zoomScale="115" zoomScaleNormal="115" workbookViewId="0">
      <selection activeCell="E12" sqref="E12"/>
    </sheetView>
  </sheetViews>
  <sheetFormatPr defaultColWidth="8.85546875" defaultRowHeight="15" x14ac:dyDescent="0.25"/>
  <cols>
    <col min="1" max="1" width="5.140625" style="53" customWidth="1"/>
    <col min="2" max="2" width="42.7109375" style="53" bestFit="1" customWidth="1"/>
    <col min="3" max="4" width="12.140625" style="53" customWidth="1"/>
    <col min="5" max="5" width="15.85546875" style="53" bestFit="1" customWidth="1"/>
    <col min="6" max="6" width="16.140625" style="53" customWidth="1"/>
    <col min="7" max="7" width="16.42578125" style="53" bestFit="1" customWidth="1"/>
    <col min="8" max="8" width="15.85546875" style="53" bestFit="1" customWidth="1"/>
    <col min="9" max="9" width="16.140625" style="53" customWidth="1"/>
    <col min="10" max="10" width="16.42578125" style="53" bestFit="1" customWidth="1"/>
    <col min="11" max="11" width="15.85546875" style="53" bestFit="1" customWidth="1"/>
    <col min="12" max="13" width="16.140625" style="53" customWidth="1"/>
    <col min="14" max="14" width="16.42578125" style="53" bestFit="1" customWidth="1"/>
    <col min="15" max="15" width="19.7109375" style="53" customWidth="1"/>
    <col min="16" max="16" width="11.7109375" style="53" bestFit="1" customWidth="1"/>
    <col min="17" max="17" width="8.28515625" style="53" bestFit="1" customWidth="1"/>
    <col min="18" max="18" width="9.85546875" style="53" bestFit="1" customWidth="1"/>
    <col min="19" max="19" width="8.42578125" style="53" bestFit="1" customWidth="1"/>
    <col min="20" max="21" width="9.5703125" style="53" bestFit="1" customWidth="1"/>
    <col min="22" max="22" width="11" style="53" bestFit="1" customWidth="1"/>
    <col min="23" max="23" width="6" style="53" bestFit="1" customWidth="1"/>
    <col min="24" max="24" width="5.28515625" style="53" bestFit="1" customWidth="1"/>
    <col min="25" max="16384" width="8.85546875" style="53"/>
  </cols>
  <sheetData>
    <row r="1" spans="2:16" ht="18.75" x14ac:dyDescent="0.3">
      <c r="B1" s="76" t="s">
        <v>97</v>
      </c>
    </row>
    <row r="3" spans="2:16" ht="15.75" thickBot="1" x14ac:dyDescent="0.3">
      <c r="B3" s="21" t="s">
        <v>104</v>
      </c>
    </row>
    <row r="4" spans="2:16" x14ac:dyDescent="0.25">
      <c r="B4" s="330" t="s">
        <v>1</v>
      </c>
      <c r="C4" s="332" t="s">
        <v>2</v>
      </c>
      <c r="D4" s="352" t="s">
        <v>21</v>
      </c>
      <c r="E4" s="323" t="s">
        <v>272</v>
      </c>
      <c r="F4" s="350"/>
      <c r="G4" s="324"/>
      <c r="H4" s="323" t="s">
        <v>273</v>
      </c>
      <c r="I4" s="350"/>
      <c r="J4" s="324"/>
      <c r="K4" s="323" t="s">
        <v>274</v>
      </c>
      <c r="L4" s="350"/>
      <c r="M4" s="351"/>
      <c r="N4" s="324"/>
      <c r="O4" s="28"/>
      <c r="P4" s="22"/>
    </row>
    <row r="5" spans="2:16" ht="30.75" thickBot="1" x14ac:dyDescent="0.3">
      <c r="B5" s="344"/>
      <c r="C5" s="345"/>
      <c r="D5" s="353"/>
      <c r="E5" s="140" t="s">
        <v>24</v>
      </c>
      <c r="F5" s="49" t="s">
        <v>25</v>
      </c>
      <c r="G5" s="50" t="s">
        <v>26</v>
      </c>
      <c r="H5" s="140" t="s">
        <v>24</v>
      </c>
      <c r="I5" s="49" t="s">
        <v>25</v>
      </c>
      <c r="J5" s="50" t="s">
        <v>26</v>
      </c>
      <c r="K5" s="140" t="s">
        <v>24</v>
      </c>
      <c r="L5" s="49" t="s">
        <v>25</v>
      </c>
      <c r="M5" s="50" t="s">
        <v>26</v>
      </c>
      <c r="N5" s="50" t="s">
        <v>17</v>
      </c>
      <c r="O5" s="214" t="s">
        <v>275</v>
      </c>
      <c r="P5" s="12"/>
    </row>
    <row r="6" spans="2:16" x14ac:dyDescent="0.25">
      <c r="B6" s="133">
        <v>2021</v>
      </c>
      <c r="C6" s="134">
        <v>0</v>
      </c>
      <c r="D6" s="135">
        <v>1</v>
      </c>
      <c r="E6" s="136"/>
      <c r="F6" s="169"/>
      <c r="G6" s="139"/>
      <c r="H6" s="136"/>
      <c r="I6" s="169"/>
      <c r="J6" s="139"/>
      <c r="K6" s="136"/>
      <c r="L6" s="169"/>
      <c r="M6" s="137"/>
      <c r="N6" s="139"/>
      <c r="O6" s="215">
        <f t="shared" ref="O6:O11" si="0">L6/(1.07^($A6-$A$5))</f>
        <v>0</v>
      </c>
      <c r="P6" s="25"/>
    </row>
    <row r="7" spans="2:16" x14ac:dyDescent="0.25">
      <c r="B7" s="108">
        <v>2022</v>
      </c>
      <c r="C7" s="103">
        <v>0</v>
      </c>
      <c r="D7" s="109">
        <v>2</v>
      </c>
      <c r="E7" s="119"/>
      <c r="F7" s="107"/>
      <c r="G7" s="123"/>
      <c r="H7" s="119"/>
      <c r="I7" s="107"/>
      <c r="J7" s="123"/>
      <c r="K7" s="119"/>
      <c r="L7" s="107"/>
      <c r="M7" s="120"/>
      <c r="N7" s="123"/>
      <c r="O7" s="215">
        <f t="shared" si="0"/>
        <v>0</v>
      </c>
      <c r="P7" s="25"/>
    </row>
    <row r="8" spans="2:16" x14ac:dyDescent="0.25">
      <c r="B8" s="108">
        <v>2023</v>
      </c>
      <c r="C8" s="103">
        <v>0</v>
      </c>
      <c r="D8" s="109">
        <v>3</v>
      </c>
      <c r="E8" s="119"/>
      <c r="F8" s="107"/>
      <c r="G8" s="123"/>
      <c r="H8" s="119"/>
      <c r="I8" s="107"/>
      <c r="J8" s="123"/>
      <c r="K8" s="119"/>
      <c r="L8" s="107"/>
      <c r="M8" s="120"/>
      <c r="N8" s="123"/>
      <c r="O8" s="215">
        <f t="shared" si="0"/>
        <v>0</v>
      </c>
      <c r="P8" s="25"/>
    </row>
    <row r="9" spans="2:16" x14ac:dyDescent="0.25">
      <c r="B9" s="108">
        <v>2024</v>
      </c>
      <c r="C9" s="103">
        <v>0</v>
      </c>
      <c r="D9" s="109">
        <v>4</v>
      </c>
      <c r="E9" s="119"/>
      <c r="F9" s="107"/>
      <c r="G9" s="123"/>
      <c r="H9" s="119"/>
      <c r="I9" s="107"/>
      <c r="J9" s="123"/>
      <c r="K9" s="119"/>
      <c r="L9" s="107"/>
      <c r="M9" s="120"/>
      <c r="N9" s="123"/>
      <c r="O9" s="215">
        <f t="shared" si="0"/>
        <v>0</v>
      </c>
      <c r="P9" s="25"/>
    </row>
    <row r="10" spans="2:16" x14ac:dyDescent="0.25">
      <c r="B10" s="108">
        <v>2025</v>
      </c>
      <c r="C10" s="103">
        <v>0</v>
      </c>
      <c r="D10" s="109">
        <v>5</v>
      </c>
      <c r="E10" s="119"/>
      <c r="F10" s="107"/>
      <c r="G10" s="123"/>
      <c r="H10" s="119"/>
      <c r="I10" s="107"/>
      <c r="J10" s="123"/>
      <c r="K10" s="119"/>
      <c r="L10" s="107"/>
      <c r="M10" s="120"/>
      <c r="N10" s="123"/>
      <c r="O10" s="215">
        <f t="shared" si="0"/>
        <v>0</v>
      </c>
      <c r="P10" s="25"/>
    </row>
    <row r="11" spans="2:16" x14ac:dyDescent="0.25">
      <c r="B11" s="108">
        <v>2026</v>
      </c>
      <c r="C11" s="103">
        <v>0</v>
      </c>
      <c r="D11" s="109">
        <v>6</v>
      </c>
      <c r="E11" s="119"/>
      <c r="F11" s="107"/>
      <c r="G11" s="123"/>
      <c r="H11" s="119"/>
      <c r="I11" s="107"/>
      <c r="J11" s="123"/>
      <c r="K11" s="119"/>
      <c r="L11" s="107"/>
      <c r="M11" s="120"/>
      <c r="N11" s="123"/>
      <c r="O11" s="215">
        <f t="shared" si="0"/>
        <v>0</v>
      </c>
      <c r="P11" s="25"/>
    </row>
    <row r="12" spans="2:16" x14ac:dyDescent="0.25">
      <c r="B12" s="110">
        <v>2027</v>
      </c>
      <c r="C12" s="104">
        <v>1</v>
      </c>
      <c r="D12" s="111">
        <v>7</v>
      </c>
      <c r="E12" s="144">
        <f>'GAP CLOSURE'!F30</f>
        <v>48752.446927374302</v>
      </c>
      <c r="F12" s="141">
        <f>SUM('GAP CLOSURE'!F30:F33)-E12-G12</f>
        <v>374216.07821229054</v>
      </c>
      <c r="G12" s="142">
        <f>'GAP CLOSURE'!F33</f>
        <v>1831374.3016759777</v>
      </c>
      <c r="H12" s="144">
        <f>XING!F34</f>
        <v>30880</v>
      </c>
      <c r="I12" s="141">
        <f>SUM(XING!F33:F39)-H12-J12</f>
        <v>282360</v>
      </c>
      <c r="J12" s="142">
        <f>XING!F37</f>
        <v>0</v>
      </c>
      <c r="K12" s="144">
        <f>H12+E12</f>
        <v>79632.446927374302</v>
      </c>
      <c r="L12" s="141">
        <f t="shared" ref="L12:L42" si="1">I12+F12</f>
        <v>656576.07821229054</v>
      </c>
      <c r="M12" s="156">
        <f t="shared" ref="M12:M42" si="2">J12+G12</f>
        <v>1831374.3016759777</v>
      </c>
      <c r="N12" s="142">
        <f>SUM(K12:M12)</f>
        <v>2567582.8268156424</v>
      </c>
      <c r="O12" s="216">
        <f>N12/(1.07^($B12-$B$12))</f>
        <v>2567582.8268156424</v>
      </c>
      <c r="P12" s="25"/>
    </row>
    <row r="13" spans="2:16" x14ac:dyDescent="0.25">
      <c r="B13" s="112">
        <v>2028</v>
      </c>
      <c r="C13" s="105">
        <v>2</v>
      </c>
      <c r="D13" s="113">
        <v>8</v>
      </c>
      <c r="E13" s="126">
        <f>E$12*(CatchmentAreaPopulation!$B4/CatchmentAreaPopulation!$B$3)</f>
        <v>48793.073966480442</v>
      </c>
      <c r="F13" s="93">
        <f>F$12*(CatchmentAreaPopulation!$B4/CatchmentAreaPopulation!$B$3)</f>
        <v>374527.92494413408</v>
      </c>
      <c r="G13" s="129">
        <f>G$12*(CatchmentAreaPopulation!$B4/CatchmentAreaPopulation!$B$3)</f>
        <v>1832900.4469273742</v>
      </c>
      <c r="H13" s="131">
        <f>H$12*(CatchmentAreaPopulation!$B4/CatchmentAreaPopulation!$B$3)</f>
        <v>30905.73333333333</v>
      </c>
      <c r="I13" s="93">
        <f>I$12*(CatchmentAreaPopulation!$B4/CatchmentAreaPopulation!$B$3)</f>
        <v>282595.3</v>
      </c>
      <c r="J13" s="129">
        <f>J$12*(CatchmentAreaPopulation!$B4/CatchmentAreaPopulation!$B$3)</f>
        <v>0</v>
      </c>
      <c r="K13" s="131">
        <f t="shared" ref="K13:K42" si="3">H13+E13</f>
        <v>79698.80729981378</v>
      </c>
      <c r="L13" s="93">
        <f t="shared" si="1"/>
        <v>657123.22494413401</v>
      </c>
      <c r="M13" s="157">
        <f t="shared" si="2"/>
        <v>1832900.4469273742</v>
      </c>
      <c r="N13" s="129">
        <f t="shared" ref="N13:N42" si="4">SUM(K13:M13)</f>
        <v>2569722.4791713217</v>
      </c>
      <c r="O13" s="217">
        <f t="shared" ref="O13:O42" si="5">N13/(1.07^($B13-$B$12))</f>
        <v>2401609.7936180574</v>
      </c>
      <c r="P13" s="25"/>
    </row>
    <row r="14" spans="2:16" x14ac:dyDescent="0.25">
      <c r="B14" s="114">
        <v>2029</v>
      </c>
      <c r="C14" s="106">
        <v>3</v>
      </c>
      <c r="D14" s="115">
        <v>9</v>
      </c>
      <c r="E14" s="131">
        <f>E$12*(CatchmentAreaPopulation!$B5/CatchmentAreaPopulation!$B$3)</f>
        <v>48833.701005586598</v>
      </c>
      <c r="F14" s="93">
        <f>F$12*(CatchmentAreaPopulation!$B5/CatchmentAreaPopulation!$B$3)</f>
        <v>374839.77167597768</v>
      </c>
      <c r="G14" s="129">
        <f>G$12*(CatchmentAreaPopulation!$B5/CatchmentAreaPopulation!$B$3)</f>
        <v>1834426.592178771</v>
      </c>
      <c r="H14" s="131">
        <f>H$12*(CatchmentAreaPopulation!$B5/CatchmentAreaPopulation!$B$3)</f>
        <v>30931.466666666667</v>
      </c>
      <c r="I14" s="93">
        <f>I$12*(CatchmentAreaPopulation!$B5/CatchmentAreaPopulation!$B$3)</f>
        <v>282830.60000000003</v>
      </c>
      <c r="J14" s="129">
        <f>J$12*(CatchmentAreaPopulation!$B5/CatchmentAreaPopulation!$B$3)</f>
        <v>0</v>
      </c>
      <c r="K14" s="131">
        <f t="shared" si="3"/>
        <v>79765.167672253272</v>
      </c>
      <c r="L14" s="93">
        <f t="shared" si="1"/>
        <v>657670.37167597772</v>
      </c>
      <c r="M14" s="157">
        <f t="shared" si="2"/>
        <v>1834426.592178771</v>
      </c>
      <c r="N14" s="129">
        <f t="shared" si="4"/>
        <v>2571862.131527002</v>
      </c>
      <c r="O14" s="217">
        <f t="shared" si="5"/>
        <v>2246363.9894549758</v>
      </c>
      <c r="P14" s="25"/>
    </row>
    <row r="15" spans="2:16" x14ac:dyDescent="0.25">
      <c r="B15" s="112">
        <v>2030</v>
      </c>
      <c r="C15" s="106">
        <v>4</v>
      </c>
      <c r="D15" s="115">
        <v>10</v>
      </c>
      <c r="E15" s="131">
        <f>E$12*(CatchmentAreaPopulation!$B6/CatchmentAreaPopulation!$B$3)</f>
        <v>48874.328044692738</v>
      </c>
      <c r="F15" s="93">
        <f>F$12*(CatchmentAreaPopulation!$B6/CatchmentAreaPopulation!$B$3)</f>
        <v>375151.61840782122</v>
      </c>
      <c r="G15" s="129">
        <f>G$12*(CatchmentAreaPopulation!$B6/CatchmentAreaPopulation!$B$3)</f>
        <v>1835952.7374301674</v>
      </c>
      <c r="H15" s="131">
        <f>H$12*(CatchmentAreaPopulation!$B6/CatchmentAreaPopulation!$B$3)</f>
        <v>30957.199999999997</v>
      </c>
      <c r="I15" s="93">
        <f>I$12*(CatchmentAreaPopulation!$B6/CatchmentAreaPopulation!$B$3)</f>
        <v>283065.89999999997</v>
      </c>
      <c r="J15" s="129">
        <f>J$12*(CatchmentAreaPopulation!$B6/CatchmentAreaPopulation!$B$3)</f>
        <v>0</v>
      </c>
      <c r="K15" s="131">
        <f t="shared" si="3"/>
        <v>79831.528044692735</v>
      </c>
      <c r="L15" s="93">
        <f t="shared" si="1"/>
        <v>658217.51840782119</v>
      </c>
      <c r="M15" s="157">
        <f t="shared" si="2"/>
        <v>1835952.7374301674</v>
      </c>
      <c r="N15" s="129">
        <f t="shared" si="4"/>
        <v>2574001.7838826813</v>
      </c>
      <c r="O15" s="217">
        <f t="shared" si="5"/>
        <v>2101152.1912966981</v>
      </c>
      <c r="P15" s="25"/>
    </row>
    <row r="16" spans="2:16" x14ac:dyDescent="0.25">
      <c r="B16" s="114">
        <v>2031</v>
      </c>
      <c r="C16" s="106">
        <v>5</v>
      </c>
      <c r="D16" s="115">
        <v>11</v>
      </c>
      <c r="E16" s="131">
        <f>E$12*(CatchmentAreaPopulation!$B7/CatchmentAreaPopulation!$B$3)</f>
        <v>48914.955083798886</v>
      </c>
      <c r="F16" s="93">
        <f>F$12*(CatchmentAreaPopulation!$B7/CatchmentAreaPopulation!$B$3)</f>
        <v>375463.46513966488</v>
      </c>
      <c r="G16" s="129">
        <f>G$12*(CatchmentAreaPopulation!$B7/CatchmentAreaPopulation!$B$3)</f>
        <v>1837478.8826815644</v>
      </c>
      <c r="H16" s="131">
        <f>H$12*(CatchmentAreaPopulation!$B7/CatchmentAreaPopulation!$B$3)</f>
        <v>30982.933333333334</v>
      </c>
      <c r="I16" s="93">
        <f>I$12*(CatchmentAreaPopulation!$B7/CatchmentAreaPopulation!$B$3)</f>
        <v>283301.2</v>
      </c>
      <c r="J16" s="129">
        <f>J$12*(CatchmentAreaPopulation!$B7/CatchmentAreaPopulation!$B$3)</f>
        <v>0</v>
      </c>
      <c r="K16" s="131">
        <f t="shared" si="3"/>
        <v>79897.888417132228</v>
      </c>
      <c r="L16" s="93">
        <f t="shared" si="1"/>
        <v>658764.6651396649</v>
      </c>
      <c r="M16" s="157">
        <f t="shared" si="2"/>
        <v>1837478.8826815644</v>
      </c>
      <c r="N16" s="129">
        <f t="shared" si="4"/>
        <v>2576141.4362383615</v>
      </c>
      <c r="O16" s="217">
        <f t="shared" si="5"/>
        <v>1965325.9672634809</v>
      </c>
      <c r="P16" s="25"/>
    </row>
    <row r="17" spans="2:16" x14ac:dyDescent="0.25">
      <c r="B17" s="112">
        <v>2032</v>
      </c>
      <c r="C17" s="106">
        <v>6</v>
      </c>
      <c r="D17" s="115">
        <v>12</v>
      </c>
      <c r="E17" s="131">
        <f>E$12*(CatchmentAreaPopulation!$B8/CatchmentAreaPopulation!$B$3)</f>
        <v>48955.582122905027</v>
      </c>
      <c r="F17" s="93">
        <f>F$12*(CatchmentAreaPopulation!$B8/CatchmentAreaPopulation!$B$3)</f>
        <v>375775.31187150843</v>
      </c>
      <c r="G17" s="129">
        <f>G$12*(CatchmentAreaPopulation!$B8/CatchmentAreaPopulation!$B$3)</f>
        <v>1839005.0279329608</v>
      </c>
      <c r="H17" s="131">
        <f>H$12*(CatchmentAreaPopulation!$B8/CatchmentAreaPopulation!$B$3)</f>
        <v>31008.666666666668</v>
      </c>
      <c r="I17" s="93">
        <f>I$12*(CatchmentAreaPopulation!$B8/CatchmentAreaPopulation!$B$3)</f>
        <v>283536.5</v>
      </c>
      <c r="J17" s="129">
        <f>J$12*(CatchmentAreaPopulation!$B8/CatchmentAreaPopulation!$B$3)</f>
        <v>0</v>
      </c>
      <c r="K17" s="131">
        <f t="shared" si="3"/>
        <v>79964.248789571691</v>
      </c>
      <c r="L17" s="93">
        <f t="shared" si="1"/>
        <v>659311.81187150837</v>
      </c>
      <c r="M17" s="157">
        <f t="shared" si="2"/>
        <v>1839005.0279329608</v>
      </c>
      <c r="N17" s="129">
        <f t="shared" si="4"/>
        <v>2578281.0885940408</v>
      </c>
      <c r="O17" s="217">
        <f t="shared" si="5"/>
        <v>1838278.7829916587</v>
      </c>
      <c r="P17" s="25"/>
    </row>
    <row r="18" spans="2:16" x14ac:dyDescent="0.25">
      <c r="B18" s="114">
        <v>2033</v>
      </c>
      <c r="C18" s="106">
        <v>7</v>
      </c>
      <c r="D18" s="115">
        <v>13</v>
      </c>
      <c r="E18" s="131">
        <f>E$12*(CatchmentAreaPopulation!$B9/CatchmentAreaPopulation!$B$3)</f>
        <v>48996.209162011168</v>
      </c>
      <c r="F18" s="93">
        <f>F$12*(CatchmentAreaPopulation!$B9/CatchmentAreaPopulation!$B$3)</f>
        <v>376087.15860335197</v>
      </c>
      <c r="G18" s="129">
        <f>G$12*(CatchmentAreaPopulation!$B9/CatchmentAreaPopulation!$B$3)</f>
        <v>1840531.1731843574</v>
      </c>
      <c r="H18" s="131">
        <f>H$12*(CatchmentAreaPopulation!$B9/CatchmentAreaPopulation!$B$3)</f>
        <v>31034.399999999998</v>
      </c>
      <c r="I18" s="93">
        <f>I$12*(CatchmentAreaPopulation!$B9/CatchmentAreaPopulation!$B$3)</f>
        <v>283771.8</v>
      </c>
      <c r="J18" s="129">
        <f>J$12*(CatchmentAreaPopulation!$B9/CatchmentAreaPopulation!$B$3)</f>
        <v>0</v>
      </c>
      <c r="K18" s="131">
        <f t="shared" si="3"/>
        <v>80030.609162011169</v>
      </c>
      <c r="L18" s="93">
        <f t="shared" si="1"/>
        <v>659858.95860335196</v>
      </c>
      <c r="M18" s="157">
        <f t="shared" si="2"/>
        <v>1840531.1731843574</v>
      </c>
      <c r="N18" s="129">
        <f t="shared" si="4"/>
        <v>2580420.7409497206</v>
      </c>
      <c r="O18" s="217">
        <f t="shared" si="5"/>
        <v>1719443.2949066898</v>
      </c>
      <c r="P18" s="25"/>
    </row>
    <row r="19" spans="2:16" x14ac:dyDescent="0.25">
      <c r="B19" s="112">
        <v>2034</v>
      </c>
      <c r="C19" s="106">
        <v>8</v>
      </c>
      <c r="D19" s="115">
        <v>14</v>
      </c>
      <c r="E19" s="131">
        <f>E$12*(CatchmentAreaPopulation!$B10/CatchmentAreaPopulation!$B$3)</f>
        <v>49036.836201117323</v>
      </c>
      <c r="F19" s="93">
        <f>F$12*(CatchmentAreaPopulation!$B10/CatchmentAreaPopulation!$B$3)</f>
        <v>376399.00533519557</v>
      </c>
      <c r="G19" s="129">
        <f>G$12*(CatchmentAreaPopulation!$B10/CatchmentAreaPopulation!$B$3)</f>
        <v>1842057.3184357542</v>
      </c>
      <c r="H19" s="131">
        <f>H$12*(CatchmentAreaPopulation!$B10/CatchmentAreaPopulation!$B$3)</f>
        <v>31060.133333333335</v>
      </c>
      <c r="I19" s="93">
        <f>I$12*(CatchmentAreaPopulation!$B10/CatchmentAreaPopulation!$B$3)</f>
        <v>284007.10000000003</v>
      </c>
      <c r="J19" s="129">
        <f>J$12*(CatchmentAreaPopulation!$B10/CatchmentAreaPopulation!$B$3)</f>
        <v>0</v>
      </c>
      <c r="K19" s="131">
        <f t="shared" si="3"/>
        <v>80096.969534450662</v>
      </c>
      <c r="L19" s="93">
        <f t="shared" si="1"/>
        <v>660406.10533519555</v>
      </c>
      <c r="M19" s="157">
        <f t="shared" si="2"/>
        <v>1842057.3184357542</v>
      </c>
      <c r="N19" s="129">
        <f t="shared" si="4"/>
        <v>2582560.3933054004</v>
      </c>
      <c r="O19" s="217">
        <f t="shared" si="5"/>
        <v>1608288.8183323061</v>
      </c>
      <c r="P19" s="25"/>
    </row>
    <row r="20" spans="2:16" x14ac:dyDescent="0.25">
      <c r="B20" s="114">
        <v>2035</v>
      </c>
      <c r="C20" s="106">
        <v>9</v>
      </c>
      <c r="D20" s="115">
        <v>15</v>
      </c>
      <c r="E20" s="131">
        <f>E$12*(CatchmentAreaPopulation!$B11/CatchmentAreaPopulation!$B$3)</f>
        <v>49077.463240223464</v>
      </c>
      <c r="F20" s="93">
        <f>F$12*(CatchmentAreaPopulation!$B11/CatchmentAreaPopulation!$B$3)</f>
        <v>376710.85206703912</v>
      </c>
      <c r="G20" s="129">
        <f>G$12*(CatchmentAreaPopulation!$B11/CatchmentAreaPopulation!$B$3)</f>
        <v>1843583.4636871507</v>
      </c>
      <c r="H20" s="131">
        <f>H$12*(CatchmentAreaPopulation!$B11/CatchmentAreaPopulation!$B$3)</f>
        <v>31085.866666666665</v>
      </c>
      <c r="I20" s="93">
        <f>I$12*(CatchmentAreaPopulation!$B11/CatchmentAreaPopulation!$B$3)</f>
        <v>284242.39999999997</v>
      </c>
      <c r="J20" s="129">
        <f>J$12*(CatchmentAreaPopulation!$B11/CatchmentAreaPopulation!$B$3)</f>
        <v>0</v>
      </c>
      <c r="K20" s="131">
        <f t="shared" si="3"/>
        <v>80163.329906890125</v>
      </c>
      <c r="L20" s="93">
        <f t="shared" si="1"/>
        <v>660953.25206703902</v>
      </c>
      <c r="M20" s="157">
        <f t="shared" si="2"/>
        <v>1843583.4636871507</v>
      </c>
      <c r="N20" s="129">
        <f t="shared" si="4"/>
        <v>2584700.0456610797</v>
      </c>
      <c r="O20" s="217">
        <f t="shared" si="5"/>
        <v>1504318.9591444191</v>
      </c>
      <c r="P20" s="25"/>
    </row>
    <row r="21" spans="2:16" x14ac:dyDescent="0.25">
      <c r="B21" s="112">
        <v>2036</v>
      </c>
      <c r="C21" s="106">
        <v>10</v>
      </c>
      <c r="D21" s="115">
        <v>16</v>
      </c>
      <c r="E21" s="131">
        <f>E$12*(CatchmentAreaPopulation!$B12/CatchmentAreaPopulation!$B$3)</f>
        <v>49118.090279329612</v>
      </c>
      <c r="F21" s="93">
        <f>F$12*(CatchmentAreaPopulation!$B12/CatchmentAreaPopulation!$B$3)</f>
        <v>377022.69879888272</v>
      </c>
      <c r="G21" s="129">
        <f>G$12*(CatchmentAreaPopulation!$B12/CatchmentAreaPopulation!$B$3)</f>
        <v>1845109.6089385475</v>
      </c>
      <c r="H21" s="131">
        <f>H$12*(CatchmentAreaPopulation!$B12/CatchmentAreaPopulation!$B$3)</f>
        <v>31111.600000000002</v>
      </c>
      <c r="I21" s="93">
        <f>I$12*(CatchmentAreaPopulation!$B12/CatchmentAreaPopulation!$B$3)</f>
        <v>284477.7</v>
      </c>
      <c r="J21" s="129">
        <f>J$12*(CatchmentAreaPopulation!$B12/CatchmentAreaPopulation!$B$3)</f>
        <v>0</v>
      </c>
      <c r="K21" s="131">
        <f t="shared" si="3"/>
        <v>80229.690279329618</v>
      </c>
      <c r="L21" s="93">
        <f t="shared" si="1"/>
        <v>661500.39879888273</v>
      </c>
      <c r="M21" s="157">
        <f t="shared" si="2"/>
        <v>1845109.6089385475</v>
      </c>
      <c r="N21" s="129">
        <f t="shared" si="4"/>
        <v>2586839.6980167599</v>
      </c>
      <c r="O21" s="217">
        <f t="shared" si="5"/>
        <v>1407069.3984075035</v>
      </c>
      <c r="P21" s="25"/>
    </row>
    <row r="22" spans="2:16" x14ac:dyDescent="0.25">
      <c r="B22" s="114">
        <v>2037</v>
      </c>
      <c r="C22" s="106">
        <v>11</v>
      </c>
      <c r="D22" s="115">
        <v>17</v>
      </c>
      <c r="E22" s="131">
        <f>E$12*(CatchmentAreaPopulation!$B13/CatchmentAreaPopulation!$B$3)</f>
        <v>49158.717318435753</v>
      </c>
      <c r="F22" s="93">
        <f>F$12*(CatchmentAreaPopulation!$B13/CatchmentAreaPopulation!$B$3)</f>
        <v>377334.54553072626</v>
      </c>
      <c r="G22" s="129">
        <f>G$12*(CatchmentAreaPopulation!$B13/CatchmentAreaPopulation!$B$3)</f>
        <v>1846635.7541899441</v>
      </c>
      <c r="H22" s="131">
        <f>H$12*(CatchmentAreaPopulation!$B13/CatchmentAreaPopulation!$B$3)</f>
        <v>31137.333333333332</v>
      </c>
      <c r="I22" s="93">
        <f>I$12*(CatchmentAreaPopulation!$B13/CatchmentAreaPopulation!$B$3)</f>
        <v>284713</v>
      </c>
      <c r="J22" s="129">
        <f>J$12*(CatchmentAreaPopulation!$B13/CatchmentAreaPopulation!$B$3)</f>
        <v>0</v>
      </c>
      <c r="K22" s="131">
        <f t="shared" si="3"/>
        <v>80296.050651769081</v>
      </c>
      <c r="L22" s="93">
        <f t="shared" si="1"/>
        <v>662047.5455307262</v>
      </c>
      <c r="M22" s="157">
        <f t="shared" si="2"/>
        <v>1846635.7541899441</v>
      </c>
      <c r="N22" s="129">
        <f t="shared" si="4"/>
        <v>2588979.3503724393</v>
      </c>
      <c r="O22" s="217">
        <f t="shared" si="5"/>
        <v>1316105.820113231</v>
      </c>
      <c r="P22" s="25"/>
    </row>
    <row r="23" spans="2:16" x14ac:dyDescent="0.25">
      <c r="B23" s="112">
        <v>2038</v>
      </c>
      <c r="C23" s="106">
        <v>12</v>
      </c>
      <c r="D23" s="115">
        <v>18</v>
      </c>
      <c r="E23" s="131">
        <f>E$12*(CatchmentAreaPopulation!$B14/CatchmentAreaPopulation!$B$3)</f>
        <v>49199.344357541908</v>
      </c>
      <c r="F23" s="93">
        <f>F$12*(CatchmentAreaPopulation!$B14/CatchmentAreaPopulation!$B$3)</f>
        <v>377646.39226256992</v>
      </c>
      <c r="G23" s="129">
        <f>G$12*(CatchmentAreaPopulation!$B14/CatchmentAreaPopulation!$B$3)</f>
        <v>1848161.8994413409</v>
      </c>
      <c r="H23" s="131">
        <f>H$12*(CatchmentAreaPopulation!$B14/CatchmentAreaPopulation!$B$3)</f>
        <v>31163.066666666669</v>
      </c>
      <c r="I23" s="93">
        <f>I$12*(CatchmentAreaPopulation!$B14/CatchmentAreaPopulation!$B$3)</f>
        <v>284948.30000000005</v>
      </c>
      <c r="J23" s="129">
        <f>J$12*(CatchmentAreaPopulation!$B14/CatchmentAreaPopulation!$B$3)</f>
        <v>0</v>
      </c>
      <c r="K23" s="131">
        <f t="shared" si="3"/>
        <v>80362.411024208574</v>
      </c>
      <c r="L23" s="93">
        <f t="shared" si="1"/>
        <v>662594.69226256991</v>
      </c>
      <c r="M23" s="157">
        <f t="shared" si="2"/>
        <v>1848161.8994413409</v>
      </c>
      <c r="N23" s="129">
        <f t="shared" si="4"/>
        <v>2591119.0027281195</v>
      </c>
      <c r="O23" s="217">
        <f t="shared" si="5"/>
        <v>1231021.9727791171</v>
      </c>
      <c r="P23" s="25"/>
    </row>
    <row r="24" spans="2:16" x14ac:dyDescent="0.25">
      <c r="B24" s="114">
        <v>2039</v>
      </c>
      <c r="C24" s="106">
        <v>13</v>
      </c>
      <c r="D24" s="115">
        <v>19</v>
      </c>
      <c r="E24" s="131">
        <f>E$12*(CatchmentAreaPopulation!$B15/CatchmentAreaPopulation!$B$3)</f>
        <v>49239.971396648049</v>
      </c>
      <c r="F24" s="93">
        <f>F$12*(CatchmentAreaPopulation!$B15/CatchmentAreaPopulation!$B$3)</f>
        <v>377958.23899441346</v>
      </c>
      <c r="G24" s="129">
        <f>G$12*(CatchmentAreaPopulation!$B15/CatchmentAreaPopulation!$B$3)</f>
        <v>1849688.0446927375</v>
      </c>
      <c r="H24" s="131">
        <f>H$12*(CatchmentAreaPopulation!$B15/CatchmentAreaPopulation!$B$3)</f>
        <v>31188.799999999999</v>
      </c>
      <c r="I24" s="93">
        <f>I$12*(CatchmentAreaPopulation!$B15/CatchmentAreaPopulation!$B$3)</f>
        <v>285183.59999999998</v>
      </c>
      <c r="J24" s="129">
        <f>J$12*(CatchmentAreaPopulation!$B15/CatchmentAreaPopulation!$B$3)</f>
        <v>0</v>
      </c>
      <c r="K24" s="131">
        <f t="shared" si="3"/>
        <v>80428.771396648051</v>
      </c>
      <c r="L24" s="93">
        <f t="shared" si="1"/>
        <v>663141.83899441338</v>
      </c>
      <c r="M24" s="157">
        <f t="shared" si="2"/>
        <v>1849688.0446927375</v>
      </c>
      <c r="N24" s="129">
        <f t="shared" si="4"/>
        <v>2593258.6550837988</v>
      </c>
      <c r="O24" s="217">
        <f t="shared" si="5"/>
        <v>1151437.8562617516</v>
      </c>
      <c r="P24" s="25"/>
    </row>
    <row r="25" spans="2:16" x14ac:dyDescent="0.25">
      <c r="B25" s="112">
        <v>2040</v>
      </c>
      <c r="C25" s="106">
        <v>14</v>
      </c>
      <c r="D25" s="115">
        <v>20</v>
      </c>
      <c r="E25" s="131">
        <f>E$12*(CatchmentAreaPopulation!$B16/CatchmentAreaPopulation!$B$3)</f>
        <v>49280.598435754189</v>
      </c>
      <c r="F25" s="93">
        <f>F$12*(CatchmentAreaPopulation!$B16/CatchmentAreaPopulation!$B$3)</f>
        <v>378270.08572625701</v>
      </c>
      <c r="G25" s="129">
        <f>G$12*(CatchmentAreaPopulation!$B16/CatchmentAreaPopulation!$B$3)</f>
        <v>1851214.1899441339</v>
      </c>
      <c r="H25" s="131">
        <f>H$12*(CatchmentAreaPopulation!$B16/CatchmentAreaPopulation!$B$3)</f>
        <v>31214.533333333329</v>
      </c>
      <c r="I25" s="93">
        <f>I$12*(CatchmentAreaPopulation!$B16/CatchmentAreaPopulation!$B$3)</f>
        <v>285418.89999999997</v>
      </c>
      <c r="J25" s="129">
        <f>J$12*(CatchmentAreaPopulation!$B16/CatchmentAreaPopulation!$B$3)</f>
        <v>0</v>
      </c>
      <c r="K25" s="131">
        <f t="shared" si="3"/>
        <v>80495.131769087515</v>
      </c>
      <c r="L25" s="93">
        <f t="shared" si="1"/>
        <v>663688.98572625697</v>
      </c>
      <c r="M25" s="157">
        <f t="shared" si="2"/>
        <v>1851214.1899441339</v>
      </c>
      <c r="N25" s="129">
        <f t="shared" si="4"/>
        <v>2595398.3074394781</v>
      </c>
      <c r="O25" s="217">
        <f t="shared" si="5"/>
        <v>1076998.0256974681</v>
      </c>
      <c r="P25" s="25"/>
    </row>
    <row r="26" spans="2:16" x14ac:dyDescent="0.25">
      <c r="B26" s="114">
        <v>2041</v>
      </c>
      <c r="C26" s="106">
        <v>15</v>
      </c>
      <c r="D26" s="115">
        <v>21</v>
      </c>
      <c r="E26" s="131">
        <f>E$12*(CatchmentAreaPopulation!$B17/CatchmentAreaPopulation!$B$3)</f>
        <v>49321.225474860337</v>
      </c>
      <c r="F26" s="93">
        <f>F$12*(CatchmentAreaPopulation!$B17/CatchmentAreaPopulation!$B$3)</f>
        <v>378581.93245810061</v>
      </c>
      <c r="G26" s="129">
        <f>G$12*(CatchmentAreaPopulation!$B17/CatchmentAreaPopulation!$B$3)</f>
        <v>1852740.3351955309</v>
      </c>
      <c r="H26" s="131">
        <f>H$12*(CatchmentAreaPopulation!$B17/CatchmentAreaPopulation!$B$3)</f>
        <v>31240.266666666666</v>
      </c>
      <c r="I26" s="93">
        <f>I$12*(CatchmentAreaPopulation!$B17/CatchmentAreaPopulation!$B$3)</f>
        <v>285654.2</v>
      </c>
      <c r="J26" s="129">
        <f>J$12*(CatchmentAreaPopulation!$B17/CatchmentAreaPopulation!$B$3)</f>
        <v>0</v>
      </c>
      <c r="K26" s="131">
        <f t="shared" si="3"/>
        <v>80561.492141527007</v>
      </c>
      <c r="L26" s="93">
        <f t="shared" si="1"/>
        <v>664236.13245810056</v>
      </c>
      <c r="M26" s="157">
        <f t="shared" si="2"/>
        <v>1852740.3351955309</v>
      </c>
      <c r="N26" s="129">
        <f t="shared" si="4"/>
        <v>2597537.9597951584</v>
      </c>
      <c r="O26" s="217">
        <f t="shared" si="5"/>
        <v>1007370.0050055293</v>
      </c>
      <c r="P26" s="25"/>
    </row>
    <row r="27" spans="2:16" x14ac:dyDescent="0.25">
      <c r="B27" s="112">
        <v>2042</v>
      </c>
      <c r="C27" s="106">
        <v>16</v>
      </c>
      <c r="D27" s="115">
        <v>22</v>
      </c>
      <c r="E27" s="131">
        <f>E$12*(CatchmentAreaPopulation!$B18/CatchmentAreaPopulation!$B$3)</f>
        <v>49361.852513966478</v>
      </c>
      <c r="F27" s="93">
        <f>F$12*(CatchmentAreaPopulation!$B18/CatchmentAreaPopulation!$B$3)</f>
        <v>378893.77918994415</v>
      </c>
      <c r="G27" s="129">
        <f>G$12*(CatchmentAreaPopulation!$B18/CatchmentAreaPopulation!$B$3)</f>
        <v>1854266.4804469272</v>
      </c>
      <c r="H27" s="131">
        <f>H$12*(CatchmentAreaPopulation!$B18/CatchmentAreaPopulation!$B$3)</f>
        <v>31266</v>
      </c>
      <c r="I27" s="93">
        <f>I$12*(CatchmentAreaPopulation!$B18/CatchmentAreaPopulation!$B$3)</f>
        <v>285889.5</v>
      </c>
      <c r="J27" s="129">
        <f>J$12*(CatchmentAreaPopulation!$B18/CatchmentAreaPopulation!$B$3)</f>
        <v>0</v>
      </c>
      <c r="K27" s="131">
        <f t="shared" si="3"/>
        <v>80627.852513966471</v>
      </c>
      <c r="L27" s="93">
        <f t="shared" si="1"/>
        <v>664783.27918994415</v>
      </c>
      <c r="M27" s="157">
        <f t="shared" si="2"/>
        <v>1854266.4804469272</v>
      </c>
      <c r="N27" s="129">
        <f t="shared" si="4"/>
        <v>2599677.6121508377</v>
      </c>
      <c r="O27" s="217">
        <f t="shared" si="5"/>
        <v>942242.80287742522</v>
      </c>
      <c r="P27" s="25"/>
    </row>
    <row r="28" spans="2:16" x14ac:dyDescent="0.25">
      <c r="B28" s="114">
        <v>2043</v>
      </c>
      <c r="C28" s="106">
        <v>17</v>
      </c>
      <c r="D28" s="115">
        <v>23</v>
      </c>
      <c r="E28" s="131">
        <f>E$12*(CatchmentAreaPopulation!$B19/CatchmentAreaPopulation!$B$3)</f>
        <v>49402.479553072633</v>
      </c>
      <c r="F28" s="93">
        <f>F$12*(CatchmentAreaPopulation!$B19/CatchmentAreaPopulation!$B$3)</f>
        <v>379205.62592178775</v>
      </c>
      <c r="G28" s="129">
        <f>G$12*(CatchmentAreaPopulation!$B19/CatchmentAreaPopulation!$B$3)</f>
        <v>1855792.6256983243</v>
      </c>
      <c r="H28" s="131">
        <f>H$12*(CatchmentAreaPopulation!$B19/CatchmentAreaPopulation!$B$3)</f>
        <v>31291.733333333337</v>
      </c>
      <c r="I28" s="93">
        <f>I$12*(CatchmentAreaPopulation!$B19/CatchmentAreaPopulation!$B$3)</f>
        <v>286124.80000000005</v>
      </c>
      <c r="J28" s="129">
        <f>J$12*(CatchmentAreaPopulation!$B19/CatchmentAreaPopulation!$B$3)</f>
        <v>0</v>
      </c>
      <c r="K28" s="131">
        <f t="shared" si="3"/>
        <v>80694.212886405963</v>
      </c>
      <c r="L28" s="93">
        <f t="shared" si="1"/>
        <v>665330.42592178774</v>
      </c>
      <c r="M28" s="157">
        <f t="shared" si="2"/>
        <v>1855792.6256983243</v>
      </c>
      <c r="N28" s="129">
        <f t="shared" si="4"/>
        <v>2601817.2645065179</v>
      </c>
      <c r="O28" s="217">
        <f t="shared" si="5"/>
        <v>881325.52463285986</v>
      </c>
      <c r="P28" s="25"/>
    </row>
    <row r="29" spans="2:16" x14ac:dyDescent="0.25">
      <c r="B29" s="112">
        <v>2044</v>
      </c>
      <c r="C29" s="106">
        <v>18</v>
      </c>
      <c r="D29" s="115">
        <v>24</v>
      </c>
      <c r="E29" s="131">
        <f>E$12*(CatchmentAreaPopulation!$B20/CatchmentAreaPopulation!$B$3)</f>
        <v>49443.106592178774</v>
      </c>
      <c r="F29" s="93">
        <f>F$12*(CatchmentAreaPopulation!$B20/CatchmentAreaPopulation!$B$3)</f>
        <v>379517.4726536313</v>
      </c>
      <c r="G29" s="129">
        <f>G$12*(CatchmentAreaPopulation!$B20/CatchmentAreaPopulation!$B$3)</f>
        <v>1857318.7709497206</v>
      </c>
      <c r="H29" s="131">
        <f>H$12*(CatchmentAreaPopulation!$B20/CatchmentAreaPopulation!$B$3)</f>
        <v>31317.466666666667</v>
      </c>
      <c r="I29" s="93">
        <f>I$12*(CatchmentAreaPopulation!$B20/CatchmentAreaPopulation!$B$3)</f>
        <v>286360.09999999998</v>
      </c>
      <c r="J29" s="129">
        <f>J$12*(CatchmentAreaPopulation!$B20/CatchmentAreaPopulation!$B$3)</f>
        <v>0</v>
      </c>
      <c r="K29" s="131">
        <f t="shared" si="3"/>
        <v>80760.573258845441</v>
      </c>
      <c r="L29" s="93">
        <f t="shared" si="1"/>
        <v>665877.57265363121</v>
      </c>
      <c r="M29" s="157">
        <f t="shared" si="2"/>
        <v>1857318.7709497206</v>
      </c>
      <c r="N29" s="129">
        <f t="shared" si="4"/>
        <v>2603956.9168621972</v>
      </c>
      <c r="O29" s="217">
        <f t="shared" si="5"/>
        <v>824346.07375045365</v>
      </c>
      <c r="P29" s="25"/>
    </row>
    <row r="30" spans="2:16" x14ac:dyDescent="0.25">
      <c r="B30" s="114">
        <v>2045</v>
      </c>
      <c r="C30" s="106">
        <v>19</v>
      </c>
      <c r="D30" s="115">
        <v>25</v>
      </c>
      <c r="E30" s="131">
        <f>E$12*(CatchmentAreaPopulation!$B21/CatchmentAreaPopulation!$B$3)</f>
        <v>49483.733631284915</v>
      </c>
      <c r="F30" s="93">
        <f>F$12*(CatchmentAreaPopulation!$B21/CatchmentAreaPopulation!$B$3)</f>
        <v>379829.31938547484</v>
      </c>
      <c r="G30" s="129">
        <f>G$12*(CatchmentAreaPopulation!$B21/CatchmentAreaPopulation!$B$3)</f>
        <v>1858844.9162011172</v>
      </c>
      <c r="H30" s="131">
        <f>H$12*(CatchmentAreaPopulation!$B21/CatchmentAreaPopulation!$B$3)</f>
        <v>31343.199999999997</v>
      </c>
      <c r="I30" s="93">
        <f>I$12*(CatchmentAreaPopulation!$B21/CatchmentAreaPopulation!$B$3)</f>
        <v>286595.39999999997</v>
      </c>
      <c r="J30" s="129">
        <f>J$12*(CatchmentAreaPopulation!$B21/CatchmentAreaPopulation!$B$3)</f>
        <v>0</v>
      </c>
      <c r="K30" s="131">
        <f t="shared" si="3"/>
        <v>80826.933631284919</v>
      </c>
      <c r="L30" s="93">
        <f t="shared" si="1"/>
        <v>666424.7193854748</v>
      </c>
      <c r="M30" s="157">
        <f t="shared" si="2"/>
        <v>1858844.9162011172</v>
      </c>
      <c r="N30" s="129">
        <f t="shared" si="4"/>
        <v>2606096.569217877</v>
      </c>
      <c r="O30" s="217">
        <f t="shared" si="5"/>
        <v>771049.93728108227</v>
      </c>
      <c r="P30" s="25"/>
    </row>
    <row r="31" spans="2:16" x14ac:dyDescent="0.25">
      <c r="B31" s="112">
        <v>2046</v>
      </c>
      <c r="C31" s="106">
        <v>20</v>
      </c>
      <c r="D31" s="115">
        <v>26</v>
      </c>
      <c r="E31" s="131">
        <f>E$12*(CatchmentAreaPopulation!$B22/CatchmentAreaPopulation!$B$3)</f>
        <v>49524.360670391063</v>
      </c>
      <c r="F31" s="93">
        <f>F$12*(CatchmentAreaPopulation!$B22/CatchmentAreaPopulation!$B$3)</f>
        <v>380141.1661173185</v>
      </c>
      <c r="G31" s="129">
        <f>G$12*(CatchmentAreaPopulation!$B22/CatchmentAreaPopulation!$B$3)</f>
        <v>1860371.061452514</v>
      </c>
      <c r="H31" s="131">
        <f>H$12*(CatchmentAreaPopulation!$B22/CatchmentAreaPopulation!$B$3)</f>
        <v>31368.933333333334</v>
      </c>
      <c r="I31" s="93">
        <f>I$12*(CatchmentAreaPopulation!$B22/CatchmentAreaPopulation!$B$3)</f>
        <v>286830.7</v>
      </c>
      <c r="J31" s="129">
        <f>J$12*(CatchmentAreaPopulation!$B22/CatchmentAreaPopulation!$B$3)</f>
        <v>0</v>
      </c>
      <c r="K31" s="131">
        <f t="shared" si="3"/>
        <v>80893.294003724397</v>
      </c>
      <c r="L31" s="93">
        <f t="shared" si="1"/>
        <v>666971.86611731851</v>
      </c>
      <c r="M31" s="157">
        <f t="shared" si="2"/>
        <v>1860371.061452514</v>
      </c>
      <c r="N31" s="129">
        <f t="shared" si="4"/>
        <v>2608236.2215735568</v>
      </c>
      <c r="O31" s="217">
        <f t="shared" si="5"/>
        <v>721199.04972579482</v>
      </c>
      <c r="P31" s="25"/>
    </row>
    <row r="32" spans="2:16" x14ac:dyDescent="0.25">
      <c r="B32" s="110">
        <v>2047</v>
      </c>
      <c r="C32" s="104">
        <v>21</v>
      </c>
      <c r="D32" s="111">
        <v>27</v>
      </c>
      <c r="E32" s="144">
        <f>E$12*(CatchmentAreaPopulation!$B23/CatchmentAreaPopulation!$B$3)</f>
        <v>49564.987709497203</v>
      </c>
      <c r="F32" s="141">
        <f>F$12*(CatchmentAreaPopulation!$B23/CatchmentAreaPopulation!$B$3)</f>
        <v>380453.01284916204</v>
      </c>
      <c r="G32" s="142">
        <f>G$12*(CatchmentAreaPopulation!$B23/CatchmentAreaPopulation!$B$3)</f>
        <v>1861897.2067039106</v>
      </c>
      <c r="H32" s="144">
        <f>H$12*(CatchmentAreaPopulation!$B23/CatchmentAreaPopulation!$B$3)</f>
        <v>31394.666666666664</v>
      </c>
      <c r="I32" s="141">
        <f>I$12*(CatchmentAreaPopulation!$B23/CatchmentAreaPopulation!$B$3)</f>
        <v>287066</v>
      </c>
      <c r="J32" s="142">
        <f>J$12*(CatchmentAreaPopulation!$B23/CatchmentAreaPopulation!$B$3)</f>
        <v>0</v>
      </c>
      <c r="K32" s="144">
        <f t="shared" si="3"/>
        <v>80959.654376163875</v>
      </c>
      <c r="L32" s="141">
        <f t="shared" si="1"/>
        <v>667519.0128491621</v>
      </c>
      <c r="M32" s="156">
        <f t="shared" si="2"/>
        <v>1861897.2067039106</v>
      </c>
      <c r="N32" s="142">
        <f t="shared" si="4"/>
        <v>2610375.8739292365</v>
      </c>
      <c r="O32" s="216">
        <f t="shared" si="5"/>
        <v>674570.73031017429</v>
      </c>
      <c r="P32" s="25"/>
    </row>
    <row r="33" spans="2:16" x14ac:dyDescent="0.25">
      <c r="B33" s="112">
        <v>2048</v>
      </c>
      <c r="C33" s="106">
        <v>22</v>
      </c>
      <c r="D33" s="115">
        <v>28</v>
      </c>
      <c r="E33" s="131">
        <f>E$12*(CatchmentAreaPopulation!$B24/CatchmentAreaPopulation!$B$3)</f>
        <v>49605.614748603359</v>
      </c>
      <c r="F33" s="93">
        <f>F$12*(CatchmentAreaPopulation!$B24/CatchmentAreaPopulation!$B$3)</f>
        <v>380764.85958100564</v>
      </c>
      <c r="G33" s="129">
        <f>G$12*(CatchmentAreaPopulation!$B24/CatchmentAreaPopulation!$B$3)</f>
        <v>1863423.3519553074</v>
      </c>
      <c r="H33" s="131">
        <f>H$12*(CatchmentAreaPopulation!$B24/CatchmentAreaPopulation!$B$3)</f>
        <v>31420.400000000001</v>
      </c>
      <c r="I33" s="93">
        <f>I$12*(CatchmentAreaPopulation!$B24/CatchmentAreaPopulation!$B$3)</f>
        <v>287301.30000000005</v>
      </c>
      <c r="J33" s="129">
        <f>J$12*(CatchmentAreaPopulation!$B24/CatchmentAreaPopulation!$B$3)</f>
        <v>0</v>
      </c>
      <c r="K33" s="131">
        <f t="shared" si="3"/>
        <v>81026.014748603367</v>
      </c>
      <c r="L33" s="93">
        <f t="shared" si="1"/>
        <v>668066.15958100569</v>
      </c>
      <c r="M33" s="157">
        <f t="shared" si="2"/>
        <v>1863423.3519553074</v>
      </c>
      <c r="N33" s="129">
        <f t="shared" si="4"/>
        <v>2612515.5262849163</v>
      </c>
      <c r="O33" s="217">
        <f t="shared" si="5"/>
        <v>630956.68891429668</v>
      </c>
      <c r="P33" s="25"/>
    </row>
    <row r="34" spans="2:16" x14ac:dyDescent="0.25">
      <c r="B34" s="114">
        <v>2049</v>
      </c>
      <c r="C34" s="106">
        <v>23</v>
      </c>
      <c r="D34" s="115">
        <v>29</v>
      </c>
      <c r="E34" s="131">
        <f>E$12*(CatchmentAreaPopulation!$B25/CatchmentAreaPopulation!$B$3)</f>
        <v>49646.241787709499</v>
      </c>
      <c r="F34" s="93">
        <f>F$12*(CatchmentAreaPopulation!$B25/CatchmentAreaPopulation!$B$3)</f>
        <v>381076.70631284919</v>
      </c>
      <c r="G34" s="129">
        <f>G$12*(CatchmentAreaPopulation!$B25/CatchmentAreaPopulation!$B$3)</f>
        <v>1864949.4972067038</v>
      </c>
      <c r="H34" s="131">
        <f>H$12*(CatchmentAreaPopulation!$B25/CatchmentAreaPopulation!$B$3)</f>
        <v>31446.133333333331</v>
      </c>
      <c r="I34" s="93">
        <f>I$12*(CatchmentAreaPopulation!$B25/CatchmentAreaPopulation!$B$3)</f>
        <v>287536.59999999998</v>
      </c>
      <c r="J34" s="129">
        <f>J$12*(CatchmentAreaPopulation!$B25/CatchmentAreaPopulation!$B$3)</f>
        <v>0</v>
      </c>
      <c r="K34" s="131">
        <f t="shared" si="3"/>
        <v>81092.375121042831</v>
      </c>
      <c r="L34" s="93">
        <f t="shared" si="1"/>
        <v>668613.30631284916</v>
      </c>
      <c r="M34" s="157">
        <f t="shared" si="2"/>
        <v>1864949.4972067038</v>
      </c>
      <c r="N34" s="129">
        <f t="shared" si="4"/>
        <v>2614655.1786405956</v>
      </c>
      <c r="O34" s="217">
        <f t="shared" si="5"/>
        <v>590162.09622361814</v>
      </c>
      <c r="P34" s="25"/>
    </row>
    <row r="35" spans="2:16" x14ac:dyDescent="0.25">
      <c r="B35" s="112">
        <v>2050</v>
      </c>
      <c r="C35" s="106">
        <v>24</v>
      </c>
      <c r="D35" s="115">
        <v>30</v>
      </c>
      <c r="E35" s="131">
        <f>E$12*(CatchmentAreaPopulation!$B26/CatchmentAreaPopulation!$B$3)</f>
        <v>49686.868826815647</v>
      </c>
      <c r="F35" s="93">
        <f>F$12*(CatchmentAreaPopulation!$B26/CatchmentAreaPopulation!$B$3)</f>
        <v>381388.55304469279</v>
      </c>
      <c r="G35" s="129">
        <f>G$12*(CatchmentAreaPopulation!$B26/CatchmentAreaPopulation!$B$3)</f>
        <v>1866475.6424581008</v>
      </c>
      <c r="H35" s="131">
        <f>H$12*(CatchmentAreaPopulation!$B26/CatchmentAreaPopulation!$B$3)</f>
        <v>31471.866666666669</v>
      </c>
      <c r="I35" s="93">
        <f>I$12*(CatchmentAreaPopulation!$B26/CatchmentAreaPopulation!$B$3)</f>
        <v>287771.90000000002</v>
      </c>
      <c r="J35" s="129">
        <f>J$12*(CatchmentAreaPopulation!$B26/CatchmentAreaPopulation!$B$3)</f>
        <v>0</v>
      </c>
      <c r="K35" s="131">
        <f t="shared" si="3"/>
        <v>81158.735493482323</v>
      </c>
      <c r="L35" s="93">
        <f t="shared" si="1"/>
        <v>669160.45304469275</v>
      </c>
      <c r="M35" s="157">
        <f t="shared" si="2"/>
        <v>1866475.6424581008</v>
      </c>
      <c r="N35" s="129">
        <f t="shared" si="4"/>
        <v>2616794.8309962759</v>
      </c>
      <c r="O35" s="217">
        <f t="shared" si="5"/>
        <v>552004.7139525254</v>
      </c>
      <c r="P35" s="25"/>
    </row>
    <row r="36" spans="2:16" x14ac:dyDescent="0.25">
      <c r="B36" s="114">
        <v>2051</v>
      </c>
      <c r="C36" s="106">
        <v>25</v>
      </c>
      <c r="D36" s="115">
        <v>31</v>
      </c>
      <c r="E36" s="131">
        <f>E$12*(CatchmentAreaPopulation!$B27/CatchmentAreaPopulation!$B$3)</f>
        <v>49727.495865921788</v>
      </c>
      <c r="F36" s="93">
        <f>F$12*(CatchmentAreaPopulation!$B27/CatchmentAreaPopulation!$B$3)</f>
        <v>381700.39977653633</v>
      </c>
      <c r="G36" s="129">
        <f>G$12*(CatchmentAreaPopulation!$B27/CatchmentAreaPopulation!$B$3)</f>
        <v>1868001.7877094971</v>
      </c>
      <c r="H36" s="131">
        <f>H$12*(CatchmentAreaPopulation!$B27/CatchmentAreaPopulation!$B$3)</f>
        <v>31497.600000000002</v>
      </c>
      <c r="I36" s="93">
        <f>I$12*(CatchmentAreaPopulation!$B27/CatchmentAreaPopulation!$B$3)</f>
        <v>288007.2</v>
      </c>
      <c r="J36" s="129">
        <f>J$12*(CatchmentAreaPopulation!$B27/CatchmentAreaPopulation!$B$3)</f>
        <v>0</v>
      </c>
      <c r="K36" s="131">
        <f t="shared" si="3"/>
        <v>81225.095865921787</v>
      </c>
      <c r="L36" s="93">
        <f t="shared" si="1"/>
        <v>669707.59977653634</v>
      </c>
      <c r="M36" s="157">
        <f t="shared" si="2"/>
        <v>1868001.7877094971</v>
      </c>
      <c r="N36" s="129">
        <f t="shared" si="4"/>
        <v>2618934.4833519552</v>
      </c>
      <c r="O36" s="217">
        <f t="shared" si="5"/>
        <v>516314.08126018528</v>
      </c>
      <c r="P36" s="25"/>
    </row>
    <row r="37" spans="2:16" x14ac:dyDescent="0.25">
      <c r="B37" s="112">
        <v>2052</v>
      </c>
      <c r="C37" s="106">
        <v>26</v>
      </c>
      <c r="D37" s="115">
        <v>32</v>
      </c>
      <c r="E37" s="131">
        <f>E$12*(CatchmentAreaPopulation!$B28/CatchmentAreaPopulation!$B$3)</f>
        <v>49768.122905027929</v>
      </c>
      <c r="F37" s="93">
        <f>F$12*(CatchmentAreaPopulation!$B28/CatchmentAreaPopulation!$B$3)</f>
        <v>382012.24650837987</v>
      </c>
      <c r="G37" s="129">
        <f>G$12*(CatchmentAreaPopulation!$B28/CatchmentAreaPopulation!$B$3)</f>
        <v>1869527.9329608937</v>
      </c>
      <c r="H37" s="131">
        <f>H$12*(CatchmentAreaPopulation!$B28/CatchmentAreaPopulation!$B$3)</f>
        <v>31523.333333333332</v>
      </c>
      <c r="I37" s="93">
        <f>I$12*(CatchmentAreaPopulation!$B28/CatchmentAreaPopulation!$B$3)</f>
        <v>288242.5</v>
      </c>
      <c r="J37" s="129">
        <f>J$12*(CatchmentAreaPopulation!$B28/CatchmentAreaPopulation!$B$3)</f>
        <v>0</v>
      </c>
      <c r="K37" s="131">
        <f t="shared" si="3"/>
        <v>81291.456238361265</v>
      </c>
      <c r="L37" s="93">
        <f t="shared" si="1"/>
        <v>670254.74650837993</v>
      </c>
      <c r="M37" s="157">
        <f t="shared" si="2"/>
        <v>1869527.9329608937</v>
      </c>
      <c r="N37" s="129">
        <f t="shared" si="4"/>
        <v>2621074.135707635</v>
      </c>
      <c r="O37" s="217">
        <f t="shared" si="5"/>
        <v>482930.75372894673</v>
      </c>
      <c r="P37" s="25"/>
    </row>
    <row r="38" spans="2:16" x14ac:dyDescent="0.25">
      <c r="B38" s="114">
        <v>2053</v>
      </c>
      <c r="C38" s="106">
        <v>27</v>
      </c>
      <c r="D38" s="115">
        <v>33</v>
      </c>
      <c r="E38" s="131">
        <f>E$12*(CatchmentAreaPopulation!$B29/CatchmentAreaPopulation!$B$3)</f>
        <v>49808.749944134084</v>
      </c>
      <c r="F38" s="93">
        <f>F$12*(CatchmentAreaPopulation!$B29/CatchmentAreaPopulation!$B$3)</f>
        <v>382324.09324022353</v>
      </c>
      <c r="G38" s="129">
        <f>G$12*(CatchmentAreaPopulation!$B29/CatchmentAreaPopulation!$B$3)</f>
        <v>1871054.0782122905</v>
      </c>
      <c r="H38" s="131">
        <f>H$12*(CatchmentAreaPopulation!$B29/CatchmentAreaPopulation!$B$3)</f>
        <v>31549.066666666669</v>
      </c>
      <c r="I38" s="93">
        <f>I$12*(CatchmentAreaPopulation!$B29/CatchmentAreaPopulation!$B$3)</f>
        <v>288477.8</v>
      </c>
      <c r="J38" s="129">
        <f>J$12*(CatchmentAreaPopulation!$B29/CatchmentAreaPopulation!$B$3)</f>
        <v>0</v>
      </c>
      <c r="K38" s="131">
        <f t="shared" si="3"/>
        <v>81357.816610800757</v>
      </c>
      <c r="L38" s="93">
        <f t="shared" si="1"/>
        <v>670801.89324022352</v>
      </c>
      <c r="M38" s="157">
        <f t="shared" si="2"/>
        <v>1871054.0782122905</v>
      </c>
      <c r="N38" s="129">
        <f t="shared" si="4"/>
        <v>2623213.7880633147</v>
      </c>
      <c r="O38" s="217">
        <f t="shared" si="5"/>
        <v>451705.59150996659</v>
      </c>
      <c r="P38" s="25"/>
    </row>
    <row r="39" spans="2:16" x14ac:dyDescent="0.25">
      <c r="B39" s="112">
        <v>2054</v>
      </c>
      <c r="C39" s="106">
        <v>28</v>
      </c>
      <c r="D39" s="115">
        <v>34</v>
      </c>
      <c r="E39" s="131">
        <f>E$12*(CatchmentAreaPopulation!$B30/CatchmentAreaPopulation!$B$3)</f>
        <v>49849.376983240225</v>
      </c>
      <c r="F39" s="93">
        <f>F$12*(CatchmentAreaPopulation!$B30/CatchmentAreaPopulation!$B$3)</f>
        <v>382635.93997206708</v>
      </c>
      <c r="G39" s="129">
        <f>G$12*(CatchmentAreaPopulation!$B30/CatchmentAreaPopulation!$B$3)</f>
        <v>1872580.2234636871</v>
      </c>
      <c r="H39" s="131">
        <f>H$12*(CatchmentAreaPopulation!$B30/CatchmentAreaPopulation!$B$3)</f>
        <v>31574.799999999999</v>
      </c>
      <c r="I39" s="93">
        <f>I$12*(CatchmentAreaPopulation!$B30/CatchmentAreaPopulation!$B$3)</f>
        <v>288713.09999999998</v>
      </c>
      <c r="J39" s="129">
        <f>J$12*(CatchmentAreaPopulation!$B30/CatchmentAreaPopulation!$B$3)</f>
        <v>0</v>
      </c>
      <c r="K39" s="131">
        <f t="shared" si="3"/>
        <v>81424.176983240221</v>
      </c>
      <c r="L39" s="93">
        <f t="shared" si="1"/>
        <v>671349.03997206711</v>
      </c>
      <c r="M39" s="157">
        <f t="shared" si="2"/>
        <v>1872580.2234636871</v>
      </c>
      <c r="N39" s="129">
        <f t="shared" si="4"/>
        <v>2625353.4404189945</v>
      </c>
      <c r="O39" s="217">
        <f t="shared" si="5"/>
        <v>422499.09346002416</v>
      </c>
      <c r="P39" s="25"/>
    </row>
    <row r="40" spans="2:16" x14ac:dyDescent="0.25">
      <c r="B40" s="114">
        <v>2055</v>
      </c>
      <c r="C40" s="106">
        <v>29</v>
      </c>
      <c r="D40" s="115">
        <v>35</v>
      </c>
      <c r="E40" s="131">
        <f>E$12*(CatchmentAreaPopulation!$B31/CatchmentAreaPopulation!$B$3)</f>
        <v>49890.004022346373</v>
      </c>
      <c r="F40" s="93">
        <f>F$12*(CatchmentAreaPopulation!$B31/CatchmentAreaPopulation!$B$3)</f>
        <v>382947.78670391068</v>
      </c>
      <c r="G40" s="129">
        <f>G$12*(CatchmentAreaPopulation!$B31/CatchmentAreaPopulation!$B$3)</f>
        <v>1874106.3687150839</v>
      </c>
      <c r="H40" s="131">
        <f>H$12*(CatchmentAreaPopulation!$B31/CatchmentAreaPopulation!$B$3)</f>
        <v>31600.533333333336</v>
      </c>
      <c r="I40" s="93">
        <f>I$12*(CatchmentAreaPopulation!$B31/CatchmentAreaPopulation!$B$3)</f>
        <v>288948.40000000002</v>
      </c>
      <c r="J40" s="129">
        <f>J$12*(CatchmentAreaPopulation!$B31/CatchmentAreaPopulation!$B$3)</f>
        <v>0</v>
      </c>
      <c r="K40" s="131">
        <f t="shared" si="3"/>
        <v>81490.537355679713</v>
      </c>
      <c r="L40" s="93">
        <f t="shared" si="1"/>
        <v>671896.1867039107</v>
      </c>
      <c r="M40" s="157">
        <f t="shared" si="2"/>
        <v>1874106.3687150839</v>
      </c>
      <c r="N40" s="129">
        <f t="shared" si="4"/>
        <v>2627493.0927746743</v>
      </c>
      <c r="O40" s="217">
        <f t="shared" si="5"/>
        <v>395180.77429861587</v>
      </c>
      <c r="P40" s="25"/>
    </row>
    <row r="41" spans="2:16" x14ac:dyDescent="0.25">
      <c r="B41" s="112">
        <v>2056</v>
      </c>
      <c r="C41" s="106">
        <v>30</v>
      </c>
      <c r="D41" s="115">
        <v>36</v>
      </c>
      <c r="E41" s="131">
        <f>E$12*(CatchmentAreaPopulation!$B32/CatchmentAreaPopulation!$B$3)</f>
        <v>49930.631061452514</v>
      </c>
      <c r="F41" s="93">
        <f>F$12*(CatchmentAreaPopulation!$B32/CatchmentAreaPopulation!$B$3)</f>
        <v>383259.63343575422</v>
      </c>
      <c r="G41" s="129">
        <f>G$12*(CatchmentAreaPopulation!$B32/CatchmentAreaPopulation!$B$3)</f>
        <v>1875632.5139664805</v>
      </c>
      <c r="H41" s="131">
        <f>H$12*(CatchmentAreaPopulation!$B32/CatchmentAreaPopulation!$B$3)</f>
        <v>31626.266666666666</v>
      </c>
      <c r="I41" s="93">
        <f>I$12*(CatchmentAreaPopulation!$B32/CatchmentAreaPopulation!$B$3)</f>
        <v>289183.7</v>
      </c>
      <c r="J41" s="129">
        <f>J$12*(CatchmentAreaPopulation!$B32/CatchmentAreaPopulation!$B$3)</f>
        <v>0</v>
      </c>
      <c r="K41" s="131">
        <f t="shared" si="3"/>
        <v>81556.897728119176</v>
      </c>
      <c r="L41" s="93">
        <f t="shared" si="1"/>
        <v>672443.33343575429</v>
      </c>
      <c r="M41" s="157">
        <f t="shared" si="2"/>
        <v>1875632.5139664805</v>
      </c>
      <c r="N41" s="129">
        <f t="shared" si="4"/>
        <v>2629632.7451303541</v>
      </c>
      <c r="O41" s="217">
        <f t="shared" si="5"/>
        <v>369628.58200630074</v>
      </c>
      <c r="P41" s="25"/>
    </row>
    <row r="42" spans="2:16" ht="15.75" thickBot="1" x14ac:dyDescent="0.3">
      <c r="B42" s="116">
        <v>2057</v>
      </c>
      <c r="C42" s="117">
        <v>31</v>
      </c>
      <c r="D42" s="118">
        <v>37</v>
      </c>
      <c r="E42" s="145">
        <f>E$12*(CatchmentAreaPopulation!$B33/CatchmentAreaPopulation!$B$3)</f>
        <v>49971.258100558654</v>
      </c>
      <c r="F42" s="143">
        <f>F$12*(CatchmentAreaPopulation!$B33/CatchmentAreaPopulation!$B$3)</f>
        <v>383571.48016759777</v>
      </c>
      <c r="G42" s="130">
        <f>G$12*(CatchmentAreaPopulation!$B33/CatchmentAreaPopulation!$B$3)</f>
        <v>1877158.6592178768</v>
      </c>
      <c r="H42" s="145">
        <f>H$12*(CatchmentAreaPopulation!$B33/CatchmentAreaPopulation!$B$3)</f>
        <v>31651.999999999996</v>
      </c>
      <c r="I42" s="143">
        <f>I$12*(CatchmentAreaPopulation!$B33/CatchmentAreaPopulation!$B$3)</f>
        <v>289419</v>
      </c>
      <c r="J42" s="130">
        <f>J$12*(CatchmentAreaPopulation!$B33/CatchmentAreaPopulation!$B$3)</f>
        <v>0</v>
      </c>
      <c r="K42" s="145">
        <f t="shared" si="3"/>
        <v>81623.258100558654</v>
      </c>
      <c r="L42" s="143">
        <f t="shared" si="1"/>
        <v>672990.48016759777</v>
      </c>
      <c r="M42" s="318">
        <f t="shared" si="2"/>
        <v>1877158.6592178768</v>
      </c>
      <c r="N42" s="130">
        <f t="shared" si="4"/>
        <v>2631772.3974860334</v>
      </c>
      <c r="O42" s="218">
        <f t="shared" si="5"/>
        <v>345728.35286476347</v>
      </c>
      <c r="P42" s="25"/>
    </row>
    <row r="43" spans="2:16" ht="14.45" customHeight="1" thickBot="1" x14ac:dyDescent="0.3">
      <c r="N43" s="168">
        <f t="shared" ref="N43:O43" si="6">SUM(N6:N42)</f>
        <v>80590005.976675972</v>
      </c>
      <c r="O43" s="168">
        <f t="shared" si="6"/>
        <v>34714212.548885569</v>
      </c>
      <c r="P43" s="29"/>
    </row>
  </sheetData>
  <mergeCells count="6">
    <mergeCell ref="K4:N4"/>
    <mergeCell ref="B4:B5"/>
    <mergeCell ref="C4:C5"/>
    <mergeCell ref="D4:D5"/>
    <mergeCell ref="H4:J4"/>
    <mergeCell ref="E4:G4"/>
  </mergeCells>
  <pageMargins left="0.7" right="0.7" top="0.75" bottom="0.75" header="0.3" footer="0.3"/>
  <pageSetup scale="49" orientation="landscape" horizontalDpi="300" verticalDpi="300" r:id="rId1"/>
  <headerFooter>
    <oddHeader>&amp;LBCA Analysis&amp;CIron Horse - Ped and Bike Improvements</oddHeader>
    <oddFooter>&amp;RPage  7 of 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9FB1-BB09-4DBE-A2F8-DDE6AAC5E094}">
  <dimension ref="A1:L51"/>
  <sheetViews>
    <sheetView workbookViewId="0">
      <selection activeCell="E31" sqref="E31"/>
    </sheetView>
  </sheetViews>
  <sheetFormatPr defaultColWidth="8.7109375" defaultRowHeight="14.25" x14ac:dyDescent="0.25"/>
  <cols>
    <col min="1" max="1" width="50.42578125" style="287" customWidth="1"/>
    <col min="2" max="2" width="26.5703125" style="287" customWidth="1"/>
    <col min="3" max="3" width="10.140625" style="287" bestFit="1" customWidth="1"/>
    <col min="4" max="4" width="14.5703125" style="287" customWidth="1"/>
    <col min="5" max="5" width="17" style="287" customWidth="1"/>
    <col min="6" max="6" width="15.28515625" style="287" customWidth="1"/>
    <col min="7" max="7" width="16" style="283" customWidth="1"/>
    <col min="8" max="8" width="35.5703125" style="287" customWidth="1"/>
    <col min="9" max="16384" width="8.7109375" style="287"/>
  </cols>
  <sheetData>
    <row r="1" spans="1:12" s="283" customFormat="1" ht="26.25" x14ac:dyDescent="0.45">
      <c r="A1" s="281" t="s">
        <v>132</v>
      </c>
      <c r="B1" s="282"/>
      <c r="D1" s="282"/>
      <c r="F1" s="282"/>
      <c r="H1" s="282"/>
    </row>
    <row r="2" spans="1:12" s="283" customFormat="1" x14ac:dyDescent="0.25">
      <c r="A2" s="284"/>
      <c r="B2" s="282"/>
      <c r="C2" s="285"/>
      <c r="D2" s="282"/>
      <c r="E2" s="285"/>
      <c r="F2" s="282"/>
      <c r="G2" s="285"/>
      <c r="H2" s="286" t="s">
        <v>133</v>
      </c>
      <c r="I2" s="287"/>
      <c r="J2" s="287"/>
      <c r="K2" s="287"/>
      <c r="L2" s="287"/>
    </row>
    <row r="3" spans="1:12" s="283" customFormat="1" x14ac:dyDescent="0.25">
      <c r="A3" s="288" t="s">
        <v>134</v>
      </c>
      <c r="B3" s="289">
        <v>680</v>
      </c>
      <c r="C3" s="285"/>
      <c r="D3" s="282"/>
      <c r="E3" s="285"/>
      <c r="F3" s="282"/>
      <c r="G3" s="285"/>
      <c r="H3" s="287"/>
      <c r="I3" s="287"/>
      <c r="J3" s="287"/>
      <c r="K3" s="287"/>
      <c r="L3" s="287"/>
    </row>
    <row r="4" spans="1:12" s="283" customFormat="1" x14ac:dyDescent="0.25">
      <c r="A4" s="288" t="s">
        <v>135</v>
      </c>
      <c r="B4" s="289">
        <v>680</v>
      </c>
      <c r="C4" s="285"/>
      <c r="D4" s="282"/>
      <c r="E4" s="285"/>
      <c r="F4" s="282"/>
      <c r="G4" s="285"/>
      <c r="H4" s="287" t="s">
        <v>136</v>
      </c>
      <c r="I4" s="287"/>
      <c r="J4" s="287"/>
      <c r="K4" s="287"/>
      <c r="L4" s="287"/>
    </row>
    <row r="5" spans="1:12" s="283" customFormat="1" x14ac:dyDescent="0.25">
      <c r="A5" s="288" t="s">
        <v>137</v>
      </c>
      <c r="B5" s="289">
        <v>400</v>
      </c>
      <c r="C5" s="285"/>
      <c r="D5" s="282"/>
      <c r="E5" s="285"/>
      <c r="F5" s="282"/>
      <c r="G5" s="285"/>
      <c r="H5" s="287" t="s">
        <v>138</v>
      </c>
      <c r="I5" s="287"/>
      <c r="J5" s="287"/>
      <c r="K5" s="287"/>
      <c r="L5" s="287"/>
    </row>
    <row r="6" spans="1:12" s="283" customFormat="1" x14ac:dyDescent="0.25">
      <c r="A6" s="288" t="s">
        <v>139</v>
      </c>
      <c r="B6" s="289">
        <v>1</v>
      </c>
      <c r="C6" s="285"/>
      <c r="D6" s="282"/>
      <c r="E6" s="285"/>
      <c r="F6" s="282"/>
      <c r="G6" s="285"/>
      <c r="H6" s="287"/>
      <c r="I6" s="287"/>
      <c r="J6" s="287"/>
      <c r="K6" s="287"/>
      <c r="L6" s="287"/>
    </row>
    <row r="7" spans="1:12" s="283" customFormat="1" x14ac:dyDescent="0.25">
      <c r="A7" s="284"/>
      <c r="B7" s="282"/>
      <c r="C7" s="285"/>
      <c r="D7" s="282"/>
      <c r="E7" s="285"/>
      <c r="F7" s="282"/>
      <c r="G7" s="285"/>
      <c r="H7" s="287"/>
      <c r="I7" s="287"/>
      <c r="J7" s="287"/>
      <c r="K7" s="287"/>
      <c r="L7" s="287"/>
    </row>
    <row r="8" spans="1:12" x14ac:dyDescent="0.25">
      <c r="A8" s="286" t="s">
        <v>140</v>
      </c>
      <c r="B8" s="286" t="s">
        <v>141</v>
      </c>
      <c r="C8" s="286" t="s">
        <v>142</v>
      </c>
      <c r="D8" s="286" t="s">
        <v>134</v>
      </c>
      <c r="E8" s="286" t="s">
        <v>143</v>
      </c>
      <c r="F8" s="286" t="s">
        <v>144</v>
      </c>
      <c r="H8" s="286" t="s">
        <v>145</v>
      </c>
    </row>
    <row r="9" spans="1:12" ht="15" x14ac:dyDescent="0.25">
      <c r="A9" s="287" t="s">
        <v>146</v>
      </c>
      <c r="B9" s="290">
        <v>32.4</v>
      </c>
      <c r="C9" s="287">
        <v>0.23</v>
      </c>
      <c r="D9" s="291">
        <v>250</v>
      </c>
      <c r="E9" s="287">
        <v>320</v>
      </c>
      <c r="F9" s="292">
        <f>B9*C9*D9*E9</f>
        <v>596160</v>
      </c>
      <c r="H9" s="287" t="s">
        <v>147</v>
      </c>
    </row>
    <row r="10" spans="1:12" ht="15" x14ac:dyDescent="0.25">
      <c r="A10" s="287" t="s">
        <v>148</v>
      </c>
      <c r="B10" s="290">
        <v>32.4</v>
      </c>
      <c r="C10" s="287">
        <v>5.5E-2</v>
      </c>
      <c r="D10" s="291">
        <v>430</v>
      </c>
      <c r="E10" s="287">
        <v>320</v>
      </c>
      <c r="F10" s="292">
        <f>B10*C10*D10*E10</f>
        <v>245203.20000000001</v>
      </c>
      <c r="H10" s="287" t="s">
        <v>149</v>
      </c>
    </row>
    <row r="11" spans="1:12" s="283" customFormat="1" ht="15" x14ac:dyDescent="0.25">
      <c r="B11" s="293"/>
    </row>
    <row r="12" spans="1:12" s="286" customFormat="1" x14ac:dyDescent="0.25">
      <c r="A12" s="286" t="s">
        <v>150</v>
      </c>
      <c r="B12" s="286" t="s">
        <v>151</v>
      </c>
      <c r="C12" s="286" t="s">
        <v>152</v>
      </c>
      <c r="D12" s="286" t="s">
        <v>134</v>
      </c>
      <c r="E12" s="286" t="s">
        <v>143</v>
      </c>
      <c r="F12" s="286" t="s">
        <v>144</v>
      </c>
      <c r="G12" s="284"/>
      <c r="H12" s="286" t="s">
        <v>145</v>
      </c>
    </row>
    <row r="13" spans="1:12" ht="15" x14ac:dyDescent="0.25">
      <c r="A13" s="287" t="s">
        <v>153</v>
      </c>
      <c r="B13" s="294">
        <v>0.1</v>
      </c>
      <c r="C13" s="283"/>
      <c r="D13" s="291"/>
      <c r="E13" s="287">
        <v>320</v>
      </c>
      <c r="F13" s="292">
        <f>B13*C13*D13*E13</f>
        <v>0</v>
      </c>
    </row>
    <row r="14" spans="1:12" ht="15" x14ac:dyDescent="0.25">
      <c r="A14" s="287" t="s">
        <v>154</v>
      </c>
      <c r="B14" s="294">
        <v>0.18</v>
      </c>
      <c r="C14" s="283"/>
      <c r="D14" s="291"/>
      <c r="E14" s="287">
        <v>320</v>
      </c>
      <c r="F14" s="292">
        <f t="shared" ref="F14:F15" si="0">B14*C14*D14*E14</f>
        <v>0</v>
      </c>
    </row>
    <row r="15" spans="1:12" ht="15" x14ac:dyDescent="0.25">
      <c r="A15" s="287" t="s">
        <v>155</v>
      </c>
      <c r="B15" s="294">
        <v>0.46</v>
      </c>
      <c r="C15" s="287">
        <v>80</v>
      </c>
      <c r="D15" s="291">
        <v>680</v>
      </c>
      <c r="E15" s="287">
        <v>320</v>
      </c>
      <c r="F15" s="292">
        <f t="shared" si="0"/>
        <v>8007680.0000000009</v>
      </c>
      <c r="H15" s="287" t="s">
        <v>156</v>
      </c>
    </row>
    <row r="16" spans="1:12" s="283" customFormat="1" ht="15" x14ac:dyDescent="0.25">
      <c r="B16" s="295"/>
    </row>
    <row r="17" spans="1:8" s="286" customFormat="1" x14ac:dyDescent="0.25">
      <c r="A17" s="286" t="s">
        <v>157</v>
      </c>
      <c r="B17" s="286" t="s">
        <v>158</v>
      </c>
      <c r="C17" s="286" t="s">
        <v>159</v>
      </c>
      <c r="D17" s="286" t="s">
        <v>134</v>
      </c>
      <c r="E17" s="286" t="s">
        <v>143</v>
      </c>
      <c r="F17" s="286" t="s">
        <v>144</v>
      </c>
      <c r="G17" s="284"/>
      <c r="H17" s="286" t="s">
        <v>145</v>
      </c>
    </row>
    <row r="18" spans="1:8" ht="15" x14ac:dyDescent="0.25">
      <c r="A18" s="287" t="s">
        <v>160</v>
      </c>
      <c r="B18" s="294">
        <v>1.42</v>
      </c>
      <c r="C18" s="283"/>
      <c r="D18" s="291"/>
      <c r="E18" s="287">
        <v>320</v>
      </c>
      <c r="F18" s="292">
        <f>B18*C18*D18*E18</f>
        <v>0</v>
      </c>
    </row>
    <row r="19" spans="1:8" ht="15" x14ac:dyDescent="0.25">
      <c r="A19" s="287" t="s">
        <v>161</v>
      </c>
      <c r="B19" s="294">
        <v>1.78</v>
      </c>
      <c r="C19" s="287">
        <v>1.21</v>
      </c>
      <c r="D19" s="291">
        <v>608</v>
      </c>
      <c r="E19" s="287">
        <v>320</v>
      </c>
      <c r="F19" s="292">
        <f t="shared" ref="F19:F22" si="1">B19*C19*D19*E19</f>
        <v>419043.32799999998</v>
      </c>
      <c r="H19" s="287" t="s">
        <v>162</v>
      </c>
    </row>
    <row r="20" spans="1:8" ht="15" x14ac:dyDescent="0.25">
      <c r="A20" s="287" t="s">
        <v>163</v>
      </c>
      <c r="B20" s="294">
        <v>1.69</v>
      </c>
      <c r="C20" s="287">
        <v>0.57999999999999996</v>
      </c>
      <c r="D20" s="291">
        <v>608</v>
      </c>
      <c r="E20" s="287">
        <v>320</v>
      </c>
      <c r="F20" s="292">
        <f t="shared" si="1"/>
        <v>190707.71199999994</v>
      </c>
    </row>
    <row r="21" spans="1:8" ht="15" x14ac:dyDescent="0.25">
      <c r="A21" s="287" t="s">
        <v>164</v>
      </c>
      <c r="B21" s="294">
        <v>0.26</v>
      </c>
      <c r="C21" s="283"/>
      <c r="D21" s="291"/>
      <c r="E21" s="287">
        <v>320</v>
      </c>
      <c r="F21" s="292">
        <f t="shared" si="1"/>
        <v>0</v>
      </c>
    </row>
    <row r="22" spans="1:8" ht="15" x14ac:dyDescent="0.25">
      <c r="A22" s="287" t="s">
        <v>165</v>
      </c>
      <c r="B22" s="294">
        <v>1.69</v>
      </c>
      <c r="C22" s="283"/>
      <c r="D22" s="291"/>
      <c r="E22" s="287">
        <v>320</v>
      </c>
      <c r="F22" s="292">
        <f t="shared" si="1"/>
        <v>0</v>
      </c>
    </row>
    <row r="23" spans="1:8" s="283" customFormat="1" ht="15" x14ac:dyDescent="0.25">
      <c r="B23" s="295"/>
    </row>
    <row r="24" spans="1:8" s="286" customFormat="1" x14ac:dyDescent="0.25">
      <c r="A24" s="286" t="s">
        <v>166</v>
      </c>
      <c r="B24" s="286" t="s">
        <v>167</v>
      </c>
      <c r="C24" s="284"/>
      <c r="D24" s="286" t="s">
        <v>137</v>
      </c>
      <c r="E24" s="286" t="s">
        <v>143</v>
      </c>
      <c r="F24" s="286" t="s">
        <v>144</v>
      </c>
      <c r="G24" s="284"/>
      <c r="H24" s="286" t="s">
        <v>145</v>
      </c>
    </row>
    <row r="25" spans="1:8" x14ac:dyDescent="0.25">
      <c r="A25" s="287" t="s">
        <v>168</v>
      </c>
      <c r="B25" s="296">
        <v>7.08</v>
      </c>
      <c r="C25" s="283"/>
      <c r="D25" s="291">
        <v>100</v>
      </c>
      <c r="E25" s="287">
        <v>320</v>
      </c>
      <c r="F25" s="292">
        <f>B25*D25*E25</f>
        <v>226560</v>
      </c>
    </row>
    <row r="26" spans="1:8" x14ac:dyDescent="0.25">
      <c r="A26" s="287" t="s">
        <v>169</v>
      </c>
      <c r="B26" s="296">
        <v>6.31</v>
      </c>
      <c r="C26" s="283"/>
      <c r="D26" s="291">
        <v>300</v>
      </c>
      <c r="E26" s="287">
        <v>320</v>
      </c>
      <c r="F26" s="292">
        <f>B26*D26*E26</f>
        <v>605759.99999999988</v>
      </c>
    </row>
    <row r="27" spans="1:8" s="283" customFormat="1" x14ac:dyDescent="0.25">
      <c r="B27" s="297"/>
    </row>
    <row r="28" spans="1:8" s="286" customFormat="1" x14ac:dyDescent="0.25">
      <c r="A28" s="286" t="s">
        <v>170</v>
      </c>
      <c r="B28" s="286" t="s">
        <v>171</v>
      </c>
      <c r="C28" s="284"/>
      <c r="D28" s="286" t="s">
        <v>172</v>
      </c>
      <c r="E28" s="286" t="s">
        <v>173</v>
      </c>
      <c r="F28" s="286" t="s">
        <v>144</v>
      </c>
      <c r="G28" s="284"/>
      <c r="H28" s="286" t="s">
        <v>145</v>
      </c>
    </row>
    <row r="29" spans="1:8" ht="15" x14ac:dyDescent="0.25">
      <c r="A29" s="287" t="s">
        <v>174</v>
      </c>
      <c r="B29" s="298">
        <v>3900</v>
      </c>
      <c r="C29" s="283"/>
      <c r="F29" s="292">
        <f>B29*E29*D29</f>
        <v>0</v>
      </c>
    </row>
    <row r="30" spans="1:8" ht="15" x14ac:dyDescent="0.25">
      <c r="A30" s="287" t="s">
        <v>175</v>
      </c>
      <c r="B30" s="298">
        <v>77200</v>
      </c>
      <c r="C30" s="283"/>
      <c r="D30" s="287">
        <v>4</v>
      </c>
      <c r="E30" s="299">
        <f>$B$42*$C$42+$B$43*$C$43</f>
        <v>0.78938547486033517</v>
      </c>
      <c r="F30" s="292">
        <f>B30*E30*D30/B$39</f>
        <v>48752.446927374302</v>
      </c>
      <c r="H30" s="354" t="s">
        <v>176</v>
      </c>
    </row>
    <row r="31" spans="1:8" ht="15" x14ac:dyDescent="0.25">
      <c r="A31" s="287" t="s">
        <v>177</v>
      </c>
      <c r="B31" s="298">
        <v>151100</v>
      </c>
      <c r="C31" s="283"/>
      <c r="D31" s="287">
        <v>1</v>
      </c>
      <c r="E31" s="299">
        <f>$B$42*$C$42+$B$43*$C$43</f>
        <v>0.78938547486033517</v>
      </c>
      <c r="F31" s="292">
        <f t="shared" ref="F31:F32" si="2">B31*E31*D31/B$39</f>
        <v>23855.229050279329</v>
      </c>
      <c r="H31" s="354"/>
    </row>
    <row r="32" spans="1:8" ht="15" x14ac:dyDescent="0.25">
      <c r="A32" s="287" t="s">
        <v>178</v>
      </c>
      <c r="B32" s="298">
        <v>554800</v>
      </c>
      <c r="C32" s="283"/>
      <c r="D32" s="287">
        <v>4</v>
      </c>
      <c r="E32" s="299">
        <f t="shared" ref="E32:E33" si="3">$B$42*$C$42+$B$43*$C$43</f>
        <v>0.78938547486033517</v>
      </c>
      <c r="F32" s="292">
        <f t="shared" si="2"/>
        <v>350360.84916201117</v>
      </c>
      <c r="H32" s="354"/>
    </row>
    <row r="33" spans="1:8" ht="15" x14ac:dyDescent="0.25">
      <c r="A33" s="287" t="s">
        <v>179</v>
      </c>
      <c r="B33" s="298">
        <v>11600000</v>
      </c>
      <c r="C33" s="283"/>
      <c r="D33" s="287">
        <v>1</v>
      </c>
      <c r="E33" s="299">
        <f t="shared" si="3"/>
        <v>0.78938547486033517</v>
      </c>
      <c r="F33" s="292">
        <f>B33*E33*D33/B$39</f>
        <v>1831374.3016759777</v>
      </c>
      <c r="H33" s="354"/>
    </row>
    <row r="34" spans="1:8" ht="15" x14ac:dyDescent="0.25">
      <c r="A34" s="287" t="s">
        <v>180</v>
      </c>
      <c r="B34" s="298">
        <v>210300</v>
      </c>
      <c r="C34" s="283"/>
      <c r="F34" s="292">
        <f t="shared" ref="F34:F38" si="4">B34*E34*D34</f>
        <v>0</v>
      </c>
    </row>
    <row r="35" spans="1:8" ht="15" x14ac:dyDescent="0.25">
      <c r="A35" s="287" t="s">
        <v>181</v>
      </c>
      <c r="B35" s="298">
        <v>159800</v>
      </c>
      <c r="C35" s="283"/>
      <c r="F35" s="292">
        <f t="shared" si="4"/>
        <v>0</v>
      </c>
    </row>
    <row r="36" spans="1:8" ht="15" x14ac:dyDescent="0.25">
      <c r="A36" s="287" t="s">
        <v>182</v>
      </c>
      <c r="B36" s="298">
        <v>4600</v>
      </c>
      <c r="C36" s="283"/>
      <c r="F36" s="292">
        <f t="shared" si="4"/>
        <v>0</v>
      </c>
    </row>
    <row r="37" spans="1:8" ht="15" x14ac:dyDescent="0.25">
      <c r="A37" s="287" t="s">
        <v>61</v>
      </c>
      <c r="B37" s="298">
        <v>302600</v>
      </c>
      <c r="C37" s="283"/>
      <c r="F37" s="292">
        <f t="shared" si="4"/>
        <v>0</v>
      </c>
    </row>
    <row r="38" spans="1:8" ht="15" x14ac:dyDescent="0.25">
      <c r="A38" s="287" t="s">
        <v>62</v>
      </c>
      <c r="B38" s="298">
        <v>12837400</v>
      </c>
      <c r="C38" s="283"/>
      <c r="F38" s="292">
        <f t="shared" si="4"/>
        <v>0</v>
      </c>
    </row>
    <row r="39" spans="1:8" ht="15" x14ac:dyDescent="0.25">
      <c r="A39" s="319" t="s">
        <v>278</v>
      </c>
      <c r="B39" s="320">
        <v>5</v>
      </c>
      <c r="C39" s="283"/>
      <c r="F39" s="292"/>
    </row>
    <row r="40" spans="1:8" s="283" customFormat="1" x14ac:dyDescent="0.25"/>
    <row r="41" spans="1:8" x14ac:dyDescent="0.25">
      <c r="A41" s="286" t="s">
        <v>183</v>
      </c>
      <c r="B41" s="286" t="s">
        <v>184</v>
      </c>
      <c r="C41" s="286" t="s">
        <v>185</v>
      </c>
      <c r="H41" s="286" t="s">
        <v>145</v>
      </c>
    </row>
    <row r="42" spans="1:8" ht="15" x14ac:dyDescent="0.25">
      <c r="A42" s="287" t="s">
        <v>186</v>
      </c>
      <c r="B42" s="299">
        <v>0.35</v>
      </c>
      <c r="C42" s="300">
        <f>C20/(C20+C19)</f>
        <v>0.32402234636871508</v>
      </c>
      <c r="H42" s="287" t="s">
        <v>187</v>
      </c>
    </row>
    <row r="43" spans="1:8" ht="15" x14ac:dyDescent="0.25">
      <c r="A43" s="287" t="s">
        <v>188</v>
      </c>
      <c r="B43" s="301">
        <v>1</v>
      </c>
      <c r="C43" s="300">
        <f>C19/(C19+C20)</f>
        <v>0.67597765363128492</v>
      </c>
      <c r="H43" s="287" t="s">
        <v>189</v>
      </c>
    </row>
    <row r="44" spans="1:8" ht="15" x14ac:dyDescent="0.25">
      <c r="A44" s="287" t="s">
        <v>190</v>
      </c>
    </row>
    <row r="45" spans="1:8" ht="15" x14ac:dyDescent="0.25">
      <c r="A45" s="287" t="s">
        <v>191</v>
      </c>
    </row>
    <row r="46" spans="1:8" s="283" customFormat="1" x14ac:dyDescent="0.25"/>
    <row r="47" spans="1:8" x14ac:dyDescent="0.25">
      <c r="A47" s="286" t="s">
        <v>192</v>
      </c>
    </row>
    <row r="48" spans="1:8" x14ac:dyDescent="0.25">
      <c r="A48" s="302"/>
      <c r="B48" s="302"/>
      <c r="C48" s="302"/>
      <c r="D48" s="302"/>
      <c r="E48" s="302"/>
      <c r="F48" s="302"/>
    </row>
    <row r="49" spans="1:6" x14ac:dyDescent="0.25">
      <c r="A49" s="302"/>
      <c r="B49" s="302"/>
      <c r="C49" s="302"/>
      <c r="D49" s="302"/>
      <c r="E49" s="302"/>
      <c r="F49" s="302"/>
    </row>
    <row r="50" spans="1:6" x14ac:dyDescent="0.25">
      <c r="A50" s="302"/>
      <c r="B50" s="302"/>
      <c r="C50" s="302"/>
      <c r="D50" s="302"/>
      <c r="E50" s="302"/>
      <c r="F50" s="302"/>
    </row>
    <row r="51" spans="1:6" x14ac:dyDescent="0.25">
      <c r="A51" s="302"/>
      <c r="B51" s="302"/>
      <c r="C51" s="302"/>
      <c r="D51" s="302"/>
      <c r="E51" s="302"/>
      <c r="F51" s="302"/>
    </row>
  </sheetData>
  <mergeCells count="1">
    <mergeCell ref="H30:H33"/>
  </mergeCells>
  <pageMargins left="0.7" right="0.7" top="0.75" bottom="0.75" header="0.3" footer="0.3"/>
  <pageSetup orientation="portrait" r:id="rId1"/>
  <headerFooter>
    <oddHeader>&amp;CIron Horse - Ped and Bike Improvements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7A90D-A427-4A64-9C36-763B893D34A6}">
  <dimension ref="C4:E20"/>
  <sheetViews>
    <sheetView workbookViewId="0">
      <selection activeCell="E28" activeCellId="3" sqref="E13 E16:E18 E21:E25 E28:E29"/>
    </sheetView>
  </sheetViews>
  <sheetFormatPr defaultColWidth="8.7109375" defaultRowHeight="14.25" x14ac:dyDescent="0.25"/>
  <cols>
    <col min="1" max="2" width="8.7109375" style="287"/>
    <col min="3" max="3" width="11.28515625" style="287" customWidth="1"/>
    <col min="4" max="4" width="12.42578125" style="287" customWidth="1"/>
    <col min="5" max="16384" width="8.7109375" style="287"/>
  </cols>
  <sheetData>
    <row r="4" spans="3:5" x14ac:dyDescent="0.25">
      <c r="C4" s="287" t="s">
        <v>193</v>
      </c>
    </row>
    <row r="5" spans="3:5" x14ac:dyDescent="0.25">
      <c r="C5" s="303" t="s">
        <v>194</v>
      </c>
      <c r="D5" s="303" t="s">
        <v>195</v>
      </c>
    </row>
    <row r="6" spans="3:5" x14ac:dyDescent="0.25">
      <c r="C6" s="304">
        <v>4642</v>
      </c>
      <c r="D6" s="304">
        <v>5033</v>
      </c>
    </row>
    <row r="8" spans="3:5" x14ac:dyDescent="0.25">
      <c r="C8" s="303" t="s">
        <v>196</v>
      </c>
      <c r="D8" s="303" t="s">
        <v>196</v>
      </c>
      <c r="E8" s="303" t="s">
        <v>11</v>
      </c>
    </row>
    <row r="9" spans="3:5" x14ac:dyDescent="0.25">
      <c r="C9" s="305">
        <f>9.43*C6</f>
        <v>43774.06</v>
      </c>
      <c r="D9" s="305">
        <f>D6*3.33</f>
        <v>16759.89</v>
      </c>
      <c r="E9" s="305">
        <f>C9+D9</f>
        <v>60533.95</v>
      </c>
    </row>
    <row r="11" spans="3:5" x14ac:dyDescent="0.25">
      <c r="C11" s="287" t="s">
        <v>197</v>
      </c>
    </row>
    <row r="12" spans="3:5" x14ac:dyDescent="0.25">
      <c r="C12" s="291">
        <f>0.075*E9</f>
        <v>4540.0462499999994</v>
      </c>
    </row>
    <row r="14" spans="3:5" x14ac:dyDescent="0.25">
      <c r="C14" s="287" t="s">
        <v>198</v>
      </c>
    </row>
    <row r="15" spans="3:5" x14ac:dyDescent="0.25">
      <c r="C15" s="291">
        <f>C12*0.15</f>
        <v>681.00693749999994</v>
      </c>
    </row>
    <row r="17" spans="3:3" x14ac:dyDescent="0.25">
      <c r="C17" s="287" t="s">
        <v>199</v>
      </c>
    </row>
    <row r="18" spans="3:3" x14ac:dyDescent="0.25">
      <c r="C18" s="287" t="s">
        <v>200</v>
      </c>
    </row>
    <row r="20" spans="3:3" x14ac:dyDescent="0.25">
      <c r="C20" s="287" t="s">
        <v>201</v>
      </c>
    </row>
  </sheetData>
  <pageMargins left="0.7" right="0.7" top="0.75" bottom="0.75" header="0.3" footer="0.3"/>
  <pageSetup orientation="portrait" verticalDpi="1200" r:id="rId1"/>
  <headerFooter>
    <oddHeader>&amp;CIron Horse - Ped and Bike Improvements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456B2-9C24-4CB9-BAF5-B02AB5667750}">
  <dimension ref="A1:I55"/>
  <sheetViews>
    <sheetView topLeftCell="A13" workbookViewId="0">
      <selection activeCell="N38" sqref="N38"/>
    </sheetView>
  </sheetViews>
  <sheetFormatPr defaultColWidth="8.7109375" defaultRowHeight="14.25" x14ac:dyDescent="0.25"/>
  <cols>
    <col min="1" max="1" width="50.42578125" style="287" customWidth="1"/>
    <col min="2" max="2" width="26.5703125" style="287" customWidth="1"/>
    <col min="3" max="3" width="10.140625" style="287" bestFit="1" customWidth="1"/>
    <col min="4" max="4" width="14.5703125" style="287" customWidth="1"/>
    <col min="5" max="5" width="17" style="287" customWidth="1"/>
    <col min="6" max="6" width="15.28515625" style="287" customWidth="1"/>
    <col min="7" max="7" width="16" style="283" customWidth="1"/>
    <col min="8" max="8" width="35.5703125" style="287" customWidth="1"/>
    <col min="9" max="16384" width="8.7109375" style="287"/>
  </cols>
  <sheetData>
    <row r="1" spans="1:9" s="283" customFormat="1" ht="26.25" x14ac:dyDescent="0.45">
      <c r="A1" s="281" t="s">
        <v>202</v>
      </c>
      <c r="B1" s="282"/>
      <c r="D1" s="282"/>
      <c r="F1" s="282"/>
      <c r="H1" s="282"/>
    </row>
    <row r="2" spans="1:9" s="283" customFormat="1" x14ac:dyDescent="0.25">
      <c r="A2" s="284"/>
      <c r="B2" s="282"/>
      <c r="C2" s="285"/>
      <c r="D2" s="282"/>
      <c r="E2" s="285"/>
      <c r="F2" s="282"/>
      <c r="G2" s="285"/>
      <c r="H2" s="286" t="s">
        <v>145</v>
      </c>
      <c r="I2" s="306"/>
    </row>
    <row r="3" spans="1:9" s="283" customFormat="1" x14ac:dyDescent="0.25">
      <c r="A3" s="288" t="s">
        <v>134</v>
      </c>
      <c r="B3" s="289">
        <v>740</v>
      </c>
      <c r="C3" s="285"/>
      <c r="D3" s="282"/>
      <c r="E3" s="285"/>
      <c r="F3" s="282"/>
      <c r="G3" s="285"/>
      <c r="H3" s="287" t="s">
        <v>203</v>
      </c>
      <c r="I3" s="306"/>
    </row>
    <row r="4" spans="1:9" s="283" customFormat="1" x14ac:dyDescent="0.25">
      <c r="A4" s="288" t="s">
        <v>135</v>
      </c>
      <c r="B4" s="289">
        <v>740</v>
      </c>
      <c r="C4" s="285"/>
      <c r="D4" s="282"/>
      <c r="E4" s="285"/>
      <c r="F4" s="282"/>
      <c r="G4" s="285"/>
      <c r="H4" s="287" t="s">
        <v>204</v>
      </c>
      <c r="I4" s="306"/>
    </row>
    <row r="5" spans="1:9" s="283" customFormat="1" x14ac:dyDescent="0.25">
      <c r="A5" s="288" t="s">
        <v>137</v>
      </c>
      <c r="B5" s="289">
        <v>250</v>
      </c>
      <c r="C5" s="285"/>
      <c r="D5" s="282"/>
      <c r="E5" s="285"/>
      <c r="F5" s="282"/>
      <c r="G5" s="285"/>
      <c r="H5" s="287" t="s">
        <v>205</v>
      </c>
      <c r="I5" s="306"/>
    </row>
    <row r="6" spans="1:9" s="283" customFormat="1" x14ac:dyDescent="0.25">
      <c r="A6" s="288" t="s">
        <v>139</v>
      </c>
      <c r="B6" s="307">
        <v>1</v>
      </c>
      <c r="C6" s="285"/>
      <c r="D6" s="282"/>
      <c r="E6" s="285"/>
      <c r="F6" s="282"/>
      <c r="G6" s="285"/>
      <c r="H6" s="287"/>
      <c r="I6" s="306"/>
    </row>
    <row r="7" spans="1:9" s="283" customFormat="1" x14ac:dyDescent="0.25">
      <c r="A7" s="284"/>
      <c r="B7" s="282"/>
      <c r="C7" s="285"/>
      <c r="D7" s="282"/>
      <c r="E7" s="285"/>
      <c r="F7" s="282"/>
      <c r="G7" s="285"/>
      <c r="H7" s="282"/>
      <c r="I7" s="306"/>
    </row>
    <row r="8" spans="1:9" x14ac:dyDescent="0.25">
      <c r="A8" s="286" t="s">
        <v>140</v>
      </c>
      <c r="B8" s="286" t="s">
        <v>141</v>
      </c>
      <c r="C8" s="286" t="s">
        <v>142</v>
      </c>
      <c r="D8" s="286" t="s">
        <v>134</v>
      </c>
      <c r="E8" s="286" t="s">
        <v>143</v>
      </c>
      <c r="F8" s="286" t="s">
        <v>144</v>
      </c>
      <c r="H8" s="286" t="s">
        <v>145</v>
      </c>
    </row>
    <row r="9" spans="1:9" ht="15" x14ac:dyDescent="0.25">
      <c r="A9" s="287" t="s">
        <v>206</v>
      </c>
      <c r="B9" s="290">
        <v>16.2</v>
      </c>
      <c r="C9" s="286"/>
      <c r="D9" s="286"/>
      <c r="E9" s="287">
        <v>320</v>
      </c>
      <c r="F9" s="292">
        <f>B9*C9*D9*E9</f>
        <v>0</v>
      </c>
      <c r="H9" s="286"/>
    </row>
    <row r="10" spans="1:9" ht="15" x14ac:dyDescent="0.25">
      <c r="A10" s="287" t="s">
        <v>207</v>
      </c>
      <c r="B10" s="290">
        <v>29.4</v>
      </c>
      <c r="C10" s="286"/>
      <c r="D10" s="286"/>
      <c r="E10" s="287">
        <v>320</v>
      </c>
      <c r="F10" s="292">
        <f t="shared" ref="F10:F14" si="0">B10*C10*D10*E10</f>
        <v>0</v>
      </c>
      <c r="H10" s="286"/>
    </row>
    <row r="11" spans="1:9" ht="15" x14ac:dyDescent="0.25">
      <c r="A11" s="287" t="s">
        <v>208</v>
      </c>
      <c r="B11" s="290">
        <v>17.8</v>
      </c>
      <c r="C11" s="287">
        <v>1.119047619047619E-2</v>
      </c>
      <c r="D11" s="287">
        <v>22600</v>
      </c>
      <c r="E11" s="287">
        <v>320</v>
      </c>
      <c r="F11" s="292">
        <f t="shared" si="0"/>
        <v>1440545.5238095238</v>
      </c>
      <c r="H11" s="287" t="s">
        <v>209</v>
      </c>
    </row>
    <row r="12" spans="1:9" ht="15" x14ac:dyDescent="0.25">
      <c r="A12" s="287" t="s">
        <v>210</v>
      </c>
      <c r="B12" s="290">
        <v>32.4</v>
      </c>
      <c r="C12" s="287">
        <v>2.2200000000000001E-2</v>
      </c>
      <c r="D12" s="287">
        <v>740</v>
      </c>
      <c r="E12" s="287">
        <v>320</v>
      </c>
      <c r="F12" s="292">
        <f t="shared" si="0"/>
        <v>170325.50400000002</v>
      </c>
      <c r="H12" s="286"/>
    </row>
    <row r="13" spans="1:9" ht="13.5" customHeight="1" x14ac:dyDescent="0.25">
      <c r="A13" s="287" t="s">
        <v>211</v>
      </c>
      <c r="B13" s="290">
        <v>32</v>
      </c>
      <c r="D13" s="286"/>
      <c r="E13" s="287">
        <v>320</v>
      </c>
      <c r="F13" s="292">
        <f t="shared" si="0"/>
        <v>0</v>
      </c>
    </row>
    <row r="14" spans="1:9" ht="15" x14ac:dyDescent="0.25">
      <c r="A14" s="287" t="s">
        <v>212</v>
      </c>
      <c r="B14" s="290">
        <v>33.6</v>
      </c>
      <c r="D14" s="291"/>
      <c r="E14" s="287">
        <v>320</v>
      </c>
      <c r="F14" s="292">
        <f t="shared" si="0"/>
        <v>0</v>
      </c>
    </row>
    <row r="15" spans="1:9" s="283" customFormat="1" ht="15" x14ac:dyDescent="0.25">
      <c r="B15" s="293"/>
    </row>
    <row r="16" spans="1:9" s="286" customFormat="1" x14ac:dyDescent="0.25">
      <c r="A16" s="286" t="s">
        <v>150</v>
      </c>
      <c r="B16" s="286" t="s">
        <v>151</v>
      </c>
      <c r="C16" s="286" t="s">
        <v>152</v>
      </c>
      <c r="D16" s="286" t="s">
        <v>134</v>
      </c>
      <c r="E16" s="286" t="s">
        <v>143</v>
      </c>
      <c r="F16" s="286" t="s">
        <v>144</v>
      </c>
      <c r="G16" s="284"/>
      <c r="H16" s="286" t="s">
        <v>145</v>
      </c>
    </row>
    <row r="17" spans="1:8" ht="15" x14ac:dyDescent="0.25">
      <c r="A17" s="287" t="s">
        <v>153</v>
      </c>
      <c r="B17" s="294">
        <v>0.1</v>
      </c>
      <c r="C17" s="283"/>
      <c r="D17" s="291">
        <f t="shared" ref="D17:D18" si="1">$B$3+$B$5</f>
        <v>990</v>
      </c>
      <c r="E17" s="287">
        <v>320</v>
      </c>
      <c r="F17" s="292">
        <f>B17*C17*D17*E17</f>
        <v>0</v>
      </c>
    </row>
    <row r="18" spans="1:8" ht="15" x14ac:dyDescent="0.25">
      <c r="A18" s="287" t="s">
        <v>154</v>
      </c>
      <c r="B18" s="294">
        <v>0.18</v>
      </c>
      <c r="C18" s="283"/>
      <c r="D18" s="291">
        <f t="shared" si="1"/>
        <v>990</v>
      </c>
      <c r="E18" s="287">
        <v>320</v>
      </c>
      <c r="F18" s="292">
        <f t="shared" ref="F18:F19" si="2">B18*C18*D18*E18</f>
        <v>0</v>
      </c>
    </row>
    <row r="19" spans="1:8" ht="15" x14ac:dyDescent="0.25">
      <c r="A19" s="287" t="s">
        <v>155</v>
      </c>
      <c r="B19" s="294">
        <v>0.46</v>
      </c>
      <c r="C19" s="287">
        <v>120</v>
      </c>
      <c r="D19" s="291">
        <f>$B$3+$B$5</f>
        <v>990</v>
      </c>
      <c r="E19" s="287">
        <v>320</v>
      </c>
      <c r="F19" s="292">
        <f t="shared" si="2"/>
        <v>17487360</v>
      </c>
      <c r="H19" s="287" t="s">
        <v>213</v>
      </c>
    </row>
    <row r="20" spans="1:8" s="283" customFormat="1" ht="15" x14ac:dyDescent="0.25">
      <c r="B20" s="295"/>
    </row>
    <row r="21" spans="1:8" s="286" customFormat="1" x14ac:dyDescent="0.25">
      <c r="A21" s="286" t="s">
        <v>157</v>
      </c>
      <c r="B21" s="286" t="s">
        <v>158</v>
      </c>
      <c r="C21" s="286" t="s">
        <v>159</v>
      </c>
      <c r="D21" s="286" t="s">
        <v>134</v>
      </c>
      <c r="E21" s="286" t="s">
        <v>143</v>
      </c>
      <c r="F21" s="286" t="s">
        <v>144</v>
      </c>
      <c r="G21" s="284"/>
      <c r="H21" s="286" t="s">
        <v>145</v>
      </c>
    </row>
    <row r="22" spans="1:8" ht="15" x14ac:dyDescent="0.25">
      <c r="A22" s="287" t="s">
        <v>160</v>
      </c>
      <c r="B22" s="294">
        <v>1.42</v>
      </c>
      <c r="C22" s="283"/>
      <c r="D22" s="291">
        <f>$B$3+$B$5</f>
        <v>990</v>
      </c>
      <c r="E22" s="287">
        <v>320</v>
      </c>
      <c r="F22" s="292">
        <f>B22*C22*D22*E22</f>
        <v>0</v>
      </c>
    </row>
    <row r="23" spans="1:8" ht="15" x14ac:dyDescent="0.25">
      <c r="A23" s="287" t="s">
        <v>161</v>
      </c>
      <c r="B23" s="294">
        <v>1.78</v>
      </c>
      <c r="C23" s="287">
        <v>1.37</v>
      </c>
      <c r="D23" s="291">
        <f t="shared" ref="D23:D26" si="3">$B$3+$B$5</f>
        <v>990</v>
      </c>
      <c r="E23" s="287">
        <v>320</v>
      </c>
      <c r="F23" s="292">
        <f t="shared" ref="F23:F26" si="4">B23*C23*D23*E23</f>
        <v>772548.48</v>
      </c>
      <c r="H23" s="287" t="s">
        <v>214</v>
      </c>
    </row>
    <row r="24" spans="1:8" ht="15" x14ac:dyDescent="0.25">
      <c r="A24" s="287" t="s">
        <v>163</v>
      </c>
      <c r="B24" s="294">
        <v>1.69</v>
      </c>
      <c r="C24" s="283"/>
      <c r="D24" s="291">
        <f t="shared" si="3"/>
        <v>990</v>
      </c>
      <c r="E24" s="287">
        <v>320</v>
      </c>
      <c r="F24" s="292">
        <f t="shared" si="4"/>
        <v>0</v>
      </c>
    </row>
    <row r="25" spans="1:8" ht="15" x14ac:dyDescent="0.25">
      <c r="A25" s="287" t="s">
        <v>164</v>
      </c>
      <c r="B25" s="294">
        <v>0.26</v>
      </c>
      <c r="C25" s="283"/>
      <c r="D25" s="291">
        <f t="shared" si="3"/>
        <v>990</v>
      </c>
      <c r="E25" s="287">
        <v>320</v>
      </c>
      <c r="F25" s="292">
        <f t="shared" si="4"/>
        <v>0</v>
      </c>
    </row>
    <row r="26" spans="1:8" ht="15" x14ac:dyDescent="0.25">
      <c r="A26" s="287" t="s">
        <v>165</v>
      </c>
      <c r="B26" s="294">
        <v>1.69</v>
      </c>
      <c r="C26" s="283"/>
      <c r="D26" s="291">
        <f t="shared" si="3"/>
        <v>990</v>
      </c>
      <c r="E26" s="287">
        <v>320</v>
      </c>
      <c r="F26" s="292">
        <f t="shared" si="4"/>
        <v>0</v>
      </c>
    </row>
    <row r="27" spans="1:8" s="283" customFormat="1" ht="15" x14ac:dyDescent="0.25">
      <c r="B27" s="295"/>
    </row>
    <row r="28" spans="1:8" s="286" customFormat="1" x14ac:dyDescent="0.25">
      <c r="A28" s="286" t="s">
        <v>166</v>
      </c>
      <c r="B28" s="286" t="s">
        <v>167</v>
      </c>
      <c r="C28" s="284"/>
      <c r="D28" s="286" t="s">
        <v>137</v>
      </c>
      <c r="E28" s="286" t="s">
        <v>143</v>
      </c>
      <c r="F28" s="286" t="s">
        <v>144</v>
      </c>
      <c r="G28" s="284"/>
      <c r="H28" s="286" t="s">
        <v>145</v>
      </c>
    </row>
    <row r="29" spans="1:8" x14ac:dyDescent="0.25">
      <c r="A29" s="287" t="s">
        <v>168</v>
      </c>
      <c r="B29" s="296">
        <v>7.08</v>
      </c>
      <c r="C29" s="283"/>
      <c r="D29" s="291">
        <f>$B$5</f>
        <v>250</v>
      </c>
      <c r="E29" s="287">
        <v>320</v>
      </c>
      <c r="F29" s="292">
        <f>B29*D29*E29</f>
        <v>566400</v>
      </c>
    </row>
    <row r="30" spans="1:8" x14ac:dyDescent="0.25">
      <c r="A30" s="287" t="s">
        <v>169</v>
      </c>
      <c r="B30" s="296">
        <v>6.31</v>
      </c>
      <c r="C30" s="283"/>
      <c r="D30" s="291">
        <f>$B$5</f>
        <v>250</v>
      </c>
      <c r="E30" s="287">
        <v>320</v>
      </c>
      <c r="F30" s="292">
        <f>B30*D30*E30</f>
        <v>504800</v>
      </c>
    </row>
    <row r="31" spans="1:8" s="283" customFormat="1" x14ac:dyDescent="0.25">
      <c r="B31" s="297"/>
    </row>
    <row r="32" spans="1:8" s="286" customFormat="1" x14ac:dyDescent="0.25">
      <c r="A32" s="286" t="s">
        <v>170</v>
      </c>
      <c r="B32" s="286" t="s">
        <v>171</v>
      </c>
      <c r="C32" s="284"/>
      <c r="D32" s="286" t="s">
        <v>172</v>
      </c>
      <c r="E32" s="286" t="s">
        <v>173</v>
      </c>
      <c r="F32" s="286" t="s">
        <v>144</v>
      </c>
      <c r="G32" s="284"/>
      <c r="H32" s="286" t="s">
        <v>145</v>
      </c>
    </row>
    <row r="33" spans="1:8" ht="15" x14ac:dyDescent="0.25">
      <c r="A33" s="287" t="s">
        <v>174</v>
      </c>
      <c r="B33" s="298">
        <v>3900</v>
      </c>
      <c r="C33" s="283"/>
      <c r="F33" s="292">
        <f>B33*E33*D33</f>
        <v>0</v>
      </c>
    </row>
    <row r="34" spans="1:8" ht="15" x14ac:dyDescent="0.25">
      <c r="A34" s="287" t="s">
        <v>175</v>
      </c>
      <c r="B34" s="298">
        <v>77200</v>
      </c>
      <c r="C34" s="283"/>
      <c r="D34" s="287">
        <v>2</v>
      </c>
      <c r="E34" s="287">
        <v>1</v>
      </c>
      <c r="F34" s="292">
        <f>B34*E34*D34/B$43</f>
        <v>30880</v>
      </c>
      <c r="H34" s="287" t="s">
        <v>215</v>
      </c>
    </row>
    <row r="35" spans="1:8" ht="15" x14ac:dyDescent="0.25">
      <c r="A35" s="287" t="s">
        <v>177</v>
      </c>
      <c r="B35" s="298">
        <v>151100</v>
      </c>
      <c r="C35" s="283"/>
      <c r="D35" s="287">
        <v>2</v>
      </c>
      <c r="E35" s="287">
        <v>1</v>
      </c>
      <c r="F35" s="292">
        <f t="shared" ref="F35:F37" si="5">B35*E35*D35/B$43</f>
        <v>60440</v>
      </c>
      <c r="H35" s="287" t="s">
        <v>216</v>
      </c>
    </row>
    <row r="36" spans="1:8" ht="15" x14ac:dyDescent="0.25">
      <c r="A36" s="287" t="s">
        <v>178</v>
      </c>
      <c r="B36" s="298">
        <v>554800</v>
      </c>
      <c r="C36" s="283"/>
      <c r="D36" s="287">
        <v>2</v>
      </c>
      <c r="E36" s="287">
        <v>1</v>
      </c>
      <c r="F36" s="292">
        <f t="shared" si="5"/>
        <v>221920</v>
      </c>
      <c r="H36" s="287" t="s">
        <v>217</v>
      </c>
    </row>
    <row r="37" spans="1:8" ht="15" x14ac:dyDescent="0.25">
      <c r="A37" s="287" t="s">
        <v>179</v>
      </c>
      <c r="B37" s="298">
        <v>11600000</v>
      </c>
      <c r="C37" s="283"/>
      <c r="D37" s="287">
        <v>0</v>
      </c>
      <c r="E37" s="287">
        <v>1</v>
      </c>
      <c r="F37" s="292">
        <f t="shared" si="5"/>
        <v>0</v>
      </c>
      <c r="H37" s="287" t="s">
        <v>218</v>
      </c>
    </row>
    <row r="38" spans="1:8" ht="15" x14ac:dyDescent="0.25">
      <c r="A38" s="287" t="s">
        <v>180</v>
      </c>
      <c r="B38" s="298">
        <v>210300</v>
      </c>
      <c r="C38" s="283"/>
      <c r="F38" s="292">
        <f t="shared" ref="F38:F42" si="6">B38*E38*D38</f>
        <v>0</v>
      </c>
    </row>
    <row r="39" spans="1:8" ht="15" x14ac:dyDescent="0.25">
      <c r="A39" s="287" t="s">
        <v>181</v>
      </c>
      <c r="B39" s="298">
        <v>159800</v>
      </c>
      <c r="C39" s="283"/>
      <c r="F39" s="292">
        <f t="shared" si="6"/>
        <v>0</v>
      </c>
    </row>
    <row r="40" spans="1:8" ht="15" x14ac:dyDescent="0.25">
      <c r="A40" s="287" t="s">
        <v>182</v>
      </c>
      <c r="B40" s="298">
        <v>4600</v>
      </c>
      <c r="C40" s="283"/>
      <c r="F40" s="292">
        <f t="shared" si="6"/>
        <v>0</v>
      </c>
    </row>
    <row r="41" spans="1:8" ht="15" x14ac:dyDescent="0.25">
      <c r="A41" s="287" t="s">
        <v>61</v>
      </c>
      <c r="B41" s="298">
        <v>302600</v>
      </c>
      <c r="C41" s="283"/>
      <c r="F41" s="292">
        <f t="shared" si="6"/>
        <v>0</v>
      </c>
    </row>
    <row r="42" spans="1:8" ht="15" x14ac:dyDescent="0.25">
      <c r="A42" s="287" t="s">
        <v>62</v>
      </c>
      <c r="B42" s="298">
        <v>12837400</v>
      </c>
      <c r="C42" s="283"/>
      <c r="F42" s="292">
        <f t="shared" si="6"/>
        <v>0</v>
      </c>
    </row>
    <row r="43" spans="1:8" ht="15" x14ac:dyDescent="0.25">
      <c r="A43" s="319" t="s">
        <v>278</v>
      </c>
      <c r="B43" s="320">
        <v>5</v>
      </c>
      <c r="C43" s="283"/>
      <c r="F43" s="292"/>
    </row>
    <row r="44" spans="1:8" s="283" customFormat="1" x14ac:dyDescent="0.25"/>
    <row r="45" spans="1:8" x14ac:dyDescent="0.25">
      <c r="A45" s="286" t="s">
        <v>183</v>
      </c>
      <c r="H45" s="286" t="s">
        <v>145</v>
      </c>
    </row>
    <row r="46" spans="1:8" ht="15" x14ac:dyDescent="0.25">
      <c r="A46" s="287" t="s">
        <v>219</v>
      </c>
    </row>
    <row r="47" spans="1:8" ht="15" x14ac:dyDescent="0.25">
      <c r="A47" s="287" t="s">
        <v>220</v>
      </c>
    </row>
    <row r="48" spans="1:8" ht="15" x14ac:dyDescent="0.25">
      <c r="A48" s="287" t="s">
        <v>190</v>
      </c>
    </row>
    <row r="49" spans="1:6" ht="15" x14ac:dyDescent="0.25">
      <c r="A49" s="287" t="s">
        <v>191</v>
      </c>
    </row>
    <row r="50" spans="1:6" s="283" customFormat="1" x14ac:dyDescent="0.25"/>
    <row r="51" spans="1:6" x14ac:dyDescent="0.25">
      <c r="A51" s="286" t="s">
        <v>192</v>
      </c>
    </row>
    <row r="52" spans="1:6" x14ac:dyDescent="0.25">
      <c r="A52" s="302"/>
      <c r="B52" s="302"/>
      <c r="C52" s="302"/>
      <c r="D52" s="302"/>
      <c r="E52" s="302"/>
      <c r="F52" s="302"/>
    </row>
    <row r="53" spans="1:6" x14ac:dyDescent="0.25">
      <c r="A53" s="302"/>
      <c r="B53" s="302"/>
      <c r="C53" s="302"/>
      <c r="D53" s="302"/>
      <c r="E53" s="302"/>
      <c r="F53" s="302"/>
    </row>
    <row r="54" spans="1:6" x14ac:dyDescent="0.25">
      <c r="A54" s="302"/>
      <c r="B54" s="302"/>
      <c r="C54" s="302"/>
      <c r="D54" s="302"/>
      <c r="E54" s="302"/>
      <c r="F54" s="302"/>
    </row>
    <row r="55" spans="1:6" x14ac:dyDescent="0.25">
      <c r="A55" s="302"/>
      <c r="B55" s="302"/>
      <c r="C55" s="302"/>
      <c r="D55" s="302"/>
      <c r="E55" s="302"/>
      <c r="F55" s="302"/>
    </row>
  </sheetData>
  <pageMargins left="0.7" right="0.7" top="0.75" bottom="0.75" header="0.3" footer="0.3"/>
  <pageSetup orientation="portrait" r:id="rId1"/>
  <headerFooter>
    <oddHeader>&amp;CIron Horse - Ped and Bike Improvements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BCA Summary</vt:lpstr>
      <vt:lpstr>Project Cost</vt:lpstr>
      <vt:lpstr>O&amp;M Costs</vt:lpstr>
      <vt:lpstr>QualityOfLife</vt:lpstr>
      <vt:lpstr>TravelTimeSavings</vt:lpstr>
      <vt:lpstr>Prevented Accident Savings</vt:lpstr>
      <vt:lpstr>GAP CLOSURE</vt:lpstr>
      <vt:lpstr>Gap Users</vt:lpstr>
      <vt:lpstr>XING</vt:lpstr>
      <vt:lpstr>Xing Users</vt:lpstr>
      <vt:lpstr>Parameters</vt:lpstr>
      <vt:lpstr>CatchmentAreaPopulation</vt:lpstr>
      <vt:lpstr>'BCA Summary'!Print_Area</vt:lpstr>
      <vt:lpstr>'O&amp;M Costs'!Print_Area</vt:lpstr>
      <vt:lpstr>Parameters!Print_Area</vt:lpstr>
      <vt:lpstr>'Project Cost'!Print_Area</vt:lpstr>
      <vt:lpstr>QualityOfLife!Print_Area</vt:lpstr>
      <vt:lpstr>TravelTimeSavings!Print_Area</vt:lpstr>
    </vt:vector>
  </TitlesOfParts>
  <Manager/>
  <Company>Fehr &amp; Peers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Lisska</dc:creator>
  <cp:keywords/>
  <dc:description/>
  <cp:lastModifiedBy>Transportation</cp:lastModifiedBy>
  <cp:revision/>
  <cp:lastPrinted>2021-06-04T00:59:18Z</cp:lastPrinted>
  <dcterms:created xsi:type="dcterms:W3CDTF">2013-05-29T20:01:52Z</dcterms:created>
  <dcterms:modified xsi:type="dcterms:W3CDTF">2022-05-22T02:09:45Z</dcterms:modified>
  <cp:category/>
  <cp:contentStatus/>
</cp:coreProperties>
</file>