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P1907190 - CCTA PPM 2019_2022 (CCTA)\Grants\MEGA 2022\BCA\BCA Final Files for Submission\"/>
    </mc:Choice>
  </mc:AlternateContent>
  <xr:revisionPtr revIDLastSave="0" documentId="13_ncr:1_{F77E4B3E-4793-4127-8B66-121AB05ED93D}" xr6:coauthVersionLast="47" xr6:coauthVersionMax="47" xr10:uidLastSave="{00000000-0000-0000-0000-000000000000}"/>
  <bookViews>
    <workbookView xWindow="49425" yWindow="150" windowWidth="39420" windowHeight="20670" tabRatio="857" activeTab="10" xr2:uid="{4C0223CF-923E-41AF-8042-5CB046A790E5}"/>
  </bookViews>
  <sheets>
    <sheet name="BCA Summary" sheetId="50" r:id="rId1"/>
    <sheet name="Cost-Solano" sheetId="58" r:id="rId2"/>
    <sheet name="Accidents-Solano" sheetId="59" r:id="rId3"/>
    <sheet name="Cost-Bridge" sheetId="56" r:id="rId4"/>
    <sheet name="Accidents-Bridge" sheetId="57" r:id="rId5"/>
    <sheet name="Cost-Alcosta" sheetId="54" r:id="rId6"/>
    <sheet name="Accidents-Alcosta" sheetId="55" r:id="rId7"/>
    <sheet name="Project Cost-Storm" sheetId="47" r:id="rId8"/>
    <sheet name="Prevented Accident Savings-Stor" sheetId="53" r:id="rId9"/>
    <sheet name="Collision Data-Storm " sheetId="19" r:id="rId10"/>
    <sheet name="Parameters-Storm" sheetId="43" r:id="rId11"/>
  </sheets>
  <externalReferences>
    <externalReference r:id="rId12"/>
    <externalReference r:id="rId13"/>
    <externalReference r:id="rId14"/>
  </externalReferences>
  <definedNames>
    <definedName name="_xlnm.Print_Area" localSheetId="0">'BCA Summary'!$A$1:$D$45</definedName>
    <definedName name="_xlnm.Print_Area" localSheetId="9">'Collision Data-Storm '!$A$1:$N$71</definedName>
    <definedName name="_xlnm.Print_Area" localSheetId="10">'Parameters-Storm'!$A$1:$N$46</definedName>
    <definedName name="_xlnm.Print_Area" localSheetId="8">'Prevented Accident Savings-Stor'!$B$129:$J$169</definedName>
    <definedName name="_xlnm.Print_Area" localSheetId="7">'Project Cost-Storm'!$A$1:$I$55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7" i="53" l="1"/>
  <c r="C157" i="53"/>
  <c r="D157" i="53"/>
  <c r="E157" i="53"/>
  <c r="F157" i="53"/>
  <c r="H157" i="53" s="1"/>
  <c r="I157" i="53" s="1"/>
  <c r="G157" i="53"/>
  <c r="D53" i="56" l="1"/>
  <c r="D54" i="56" s="1"/>
  <c r="D55" i="56" s="1"/>
  <c r="B138" i="55" l="1"/>
  <c r="B139" i="55" s="1"/>
  <c r="B140" i="55" s="1"/>
  <c r="B141" i="55" s="1"/>
  <c r="B142" i="55" s="1"/>
  <c r="B143" i="55" s="1"/>
  <c r="B144" i="55" s="1"/>
  <c r="B145" i="55" s="1"/>
  <c r="B146" i="55" s="1"/>
  <c r="B147" i="55" s="1"/>
  <c r="B148" i="55" s="1"/>
  <c r="B149" i="55" s="1"/>
  <c r="B150" i="55" s="1"/>
  <c r="B151" i="55" s="1"/>
  <c r="B152" i="55" s="1"/>
  <c r="B153" i="55" s="1"/>
  <c r="B154" i="55" s="1"/>
  <c r="B155" i="55" s="1"/>
  <c r="B156" i="55" s="1"/>
  <c r="B157" i="55" s="1"/>
  <c r="B158" i="55" s="1"/>
  <c r="B159" i="55" s="1"/>
  <c r="B160" i="55" s="1"/>
  <c r="B161" i="55" s="1"/>
  <c r="B162" i="55" s="1"/>
  <c r="B163" i="55" s="1"/>
  <c r="B164" i="55" s="1"/>
  <c r="B165" i="55" s="1"/>
  <c r="B166" i="55" s="1"/>
  <c r="B137" i="55"/>
  <c r="B135" i="55"/>
  <c r="B134" i="55" s="1"/>
  <c r="B133" i="55"/>
  <c r="B132" i="55" s="1"/>
  <c r="B131" i="55" s="1"/>
  <c r="E98" i="55"/>
  <c r="F98" i="55" s="1"/>
  <c r="I98" i="55" s="1"/>
  <c r="L98" i="55" s="1"/>
  <c r="E95" i="55"/>
  <c r="E125" i="55" s="1"/>
  <c r="G125" i="55" s="1"/>
  <c r="J125" i="55" s="1"/>
  <c r="M125" i="55" s="1"/>
  <c r="N94" i="55"/>
  <c r="M94" i="55"/>
  <c r="L94" i="55"/>
  <c r="N93" i="55"/>
  <c r="M93" i="55"/>
  <c r="L93" i="55"/>
  <c r="N92" i="55"/>
  <c r="M92" i="55"/>
  <c r="L92" i="55"/>
  <c r="N91" i="55"/>
  <c r="M91" i="55"/>
  <c r="L91" i="55"/>
  <c r="N90" i="55"/>
  <c r="M90" i="55"/>
  <c r="L90" i="55"/>
  <c r="N89" i="55"/>
  <c r="M89" i="55"/>
  <c r="L89" i="55"/>
  <c r="E67" i="55"/>
  <c r="E58" i="55"/>
  <c r="H53" i="55"/>
  <c r="K53" i="55" s="1"/>
  <c r="N53" i="55" s="1"/>
  <c r="E53" i="55"/>
  <c r="E75" i="55" s="1"/>
  <c r="M52" i="55"/>
  <c r="M51" i="55"/>
  <c r="M50" i="55"/>
  <c r="E50" i="55"/>
  <c r="H50" i="55" s="1"/>
  <c r="K50" i="55" s="1"/>
  <c r="N50" i="55" s="1"/>
  <c r="M49" i="55"/>
  <c r="M48" i="55"/>
  <c r="M47" i="55"/>
  <c r="B13" i="55"/>
  <c r="B14" i="55" s="1"/>
  <c r="B15" i="55" s="1"/>
  <c r="B16" i="55" s="1"/>
  <c r="B17" i="55" s="1"/>
  <c r="B18" i="55" s="1"/>
  <c r="B19" i="55" s="1"/>
  <c r="B20" i="55" s="1"/>
  <c r="B21" i="55" s="1"/>
  <c r="B22" i="55" s="1"/>
  <c r="B12" i="55"/>
  <c r="B10" i="55"/>
  <c r="B9" i="55" s="1"/>
  <c r="B8" i="55" s="1"/>
  <c r="B7" i="55" s="1"/>
  <c r="B6" i="55" s="1"/>
  <c r="E54" i="55" l="1"/>
  <c r="E71" i="55"/>
  <c r="E47" i="55"/>
  <c r="H47" i="55" s="1"/>
  <c r="E51" i="55"/>
  <c r="F51" i="55" s="1"/>
  <c r="I51" i="55" s="1"/>
  <c r="L51" i="55" s="1"/>
  <c r="E55" i="55"/>
  <c r="E48" i="55"/>
  <c r="G48" i="55" s="1"/>
  <c r="E59" i="55"/>
  <c r="E62" i="55"/>
  <c r="G62" i="55" s="1"/>
  <c r="J62" i="55" s="1"/>
  <c r="M62" i="55" s="1"/>
  <c r="E49" i="55"/>
  <c r="F53" i="55"/>
  <c r="I53" i="55" s="1"/>
  <c r="L53" i="55" s="1"/>
  <c r="E63" i="55"/>
  <c r="G53" i="55"/>
  <c r="J53" i="55" s="1"/>
  <c r="E66" i="55"/>
  <c r="G66" i="55" s="1"/>
  <c r="J66" i="55" s="1"/>
  <c r="M66" i="55" s="1"/>
  <c r="F47" i="55"/>
  <c r="F84" i="55" s="1"/>
  <c r="E91" i="55"/>
  <c r="E118" i="55"/>
  <c r="F118" i="55" s="1"/>
  <c r="I118" i="55" s="1"/>
  <c r="L118" i="55" s="1"/>
  <c r="G47" i="55"/>
  <c r="G84" i="55" s="1"/>
  <c r="E56" i="55"/>
  <c r="H56" i="55" s="1"/>
  <c r="K56" i="55" s="1"/>
  <c r="N56" i="55" s="1"/>
  <c r="E70" i="55"/>
  <c r="G70" i="55" s="1"/>
  <c r="J70" i="55" s="1"/>
  <c r="M70" i="55" s="1"/>
  <c r="E90" i="55"/>
  <c r="H95" i="55"/>
  <c r="K95" i="55" s="1"/>
  <c r="N95" i="55" s="1"/>
  <c r="N126" i="55" s="1"/>
  <c r="E97" i="55"/>
  <c r="E102" i="55"/>
  <c r="E106" i="55"/>
  <c r="H106" i="55" s="1"/>
  <c r="K106" i="55" s="1"/>
  <c r="N106" i="55" s="1"/>
  <c r="E89" i="55"/>
  <c r="E92" i="55"/>
  <c r="E110" i="55"/>
  <c r="E122" i="55"/>
  <c r="F50" i="55"/>
  <c r="I50" i="55" s="1"/>
  <c r="L50" i="55" s="1"/>
  <c r="F48" i="55"/>
  <c r="I48" i="55" s="1"/>
  <c r="L48" i="55" s="1"/>
  <c r="E114" i="55"/>
  <c r="G114" i="55" s="1"/>
  <c r="J114" i="55" s="1"/>
  <c r="M114" i="55" s="1"/>
  <c r="B23" i="55"/>
  <c r="B24" i="55" s="1"/>
  <c r="B25" i="55" s="1"/>
  <c r="B26" i="55" s="1"/>
  <c r="K126" i="55"/>
  <c r="H122" i="55"/>
  <c r="K122" i="55" s="1"/>
  <c r="N122" i="55" s="1"/>
  <c r="G122" i="55"/>
  <c r="J122" i="55" s="1"/>
  <c r="M122" i="55" s="1"/>
  <c r="F122" i="55"/>
  <c r="I122" i="55" s="1"/>
  <c r="L122" i="55" s="1"/>
  <c r="G51" i="55"/>
  <c r="F62" i="55"/>
  <c r="I62" i="55" s="1"/>
  <c r="L62" i="55" s="1"/>
  <c r="H67" i="55"/>
  <c r="K67" i="55" s="1"/>
  <c r="N67" i="55" s="1"/>
  <c r="G67" i="55"/>
  <c r="J67" i="55" s="1"/>
  <c r="M67" i="55" s="1"/>
  <c r="F67" i="55"/>
  <c r="I67" i="55" s="1"/>
  <c r="L67" i="55" s="1"/>
  <c r="H49" i="55"/>
  <c r="K49" i="55" s="1"/>
  <c r="N49" i="55" s="1"/>
  <c r="F49" i="55"/>
  <c r="I49" i="55" s="1"/>
  <c r="L49" i="55" s="1"/>
  <c r="G49" i="55"/>
  <c r="H58" i="55"/>
  <c r="K58" i="55" s="1"/>
  <c r="N58" i="55" s="1"/>
  <c r="F58" i="55"/>
  <c r="I58" i="55" s="1"/>
  <c r="L58" i="55" s="1"/>
  <c r="G58" i="55"/>
  <c r="J58" i="55" s="1"/>
  <c r="M58" i="55" s="1"/>
  <c r="M53" i="55"/>
  <c r="M84" i="55" s="1"/>
  <c r="J84" i="55"/>
  <c r="J85" i="55" s="1"/>
  <c r="G56" i="55"/>
  <c r="J56" i="55" s="1"/>
  <c r="M56" i="55" s="1"/>
  <c r="F56" i="55"/>
  <c r="I56" i="55" s="1"/>
  <c r="L56" i="55" s="1"/>
  <c r="H70" i="55"/>
  <c r="K70" i="55" s="1"/>
  <c r="N70" i="55" s="1"/>
  <c r="F70" i="55"/>
  <c r="I70" i="55" s="1"/>
  <c r="L70" i="55" s="1"/>
  <c r="H110" i="55"/>
  <c r="K110" i="55" s="1"/>
  <c r="N110" i="55" s="1"/>
  <c r="G110" i="55"/>
  <c r="J110" i="55" s="1"/>
  <c r="M110" i="55" s="1"/>
  <c r="F110" i="55"/>
  <c r="I110" i="55" s="1"/>
  <c r="L110" i="55" s="1"/>
  <c r="H55" i="55"/>
  <c r="K55" i="55" s="1"/>
  <c r="N55" i="55" s="1"/>
  <c r="F55" i="55"/>
  <c r="I55" i="55" s="1"/>
  <c r="L55" i="55" s="1"/>
  <c r="G55" i="55"/>
  <c r="J55" i="55" s="1"/>
  <c r="M55" i="55" s="1"/>
  <c r="H71" i="55"/>
  <c r="K71" i="55" s="1"/>
  <c r="N71" i="55" s="1"/>
  <c r="G71" i="55"/>
  <c r="J71" i="55" s="1"/>
  <c r="M71" i="55" s="1"/>
  <c r="F71" i="55"/>
  <c r="I71" i="55" s="1"/>
  <c r="L71" i="55" s="1"/>
  <c r="F90" i="55"/>
  <c r="F125" i="55"/>
  <c r="I125" i="55" s="1"/>
  <c r="L125" i="55" s="1"/>
  <c r="H125" i="55"/>
  <c r="K125" i="55" s="1"/>
  <c r="N125" i="55" s="1"/>
  <c r="H54" i="55"/>
  <c r="K54" i="55" s="1"/>
  <c r="N54" i="55" s="1"/>
  <c r="F54" i="55"/>
  <c r="I54" i="55" s="1"/>
  <c r="L54" i="55" s="1"/>
  <c r="H63" i="55"/>
  <c r="K63" i="55" s="1"/>
  <c r="N63" i="55" s="1"/>
  <c r="G63" i="55"/>
  <c r="J63" i="55" s="1"/>
  <c r="M63" i="55" s="1"/>
  <c r="F63" i="55"/>
  <c r="I63" i="55" s="1"/>
  <c r="L63" i="55" s="1"/>
  <c r="H102" i="55"/>
  <c r="K102" i="55" s="1"/>
  <c r="N102" i="55" s="1"/>
  <c r="G102" i="55"/>
  <c r="J102" i="55" s="1"/>
  <c r="M102" i="55" s="1"/>
  <c r="F102" i="55"/>
  <c r="I102" i="55" s="1"/>
  <c r="L102" i="55" s="1"/>
  <c r="K47" i="55"/>
  <c r="H84" i="55"/>
  <c r="G75" i="55"/>
  <c r="J75" i="55" s="1"/>
  <c r="M75" i="55" s="1"/>
  <c r="F75" i="55"/>
  <c r="I75" i="55" s="1"/>
  <c r="L75" i="55" s="1"/>
  <c r="H75" i="55"/>
  <c r="K75" i="55" s="1"/>
  <c r="N75" i="55" s="1"/>
  <c r="G54" i="55"/>
  <c r="J54" i="55" s="1"/>
  <c r="M54" i="55" s="1"/>
  <c r="H59" i="55"/>
  <c r="K59" i="55" s="1"/>
  <c r="N59" i="55" s="1"/>
  <c r="G59" i="55"/>
  <c r="J59" i="55" s="1"/>
  <c r="M59" i="55" s="1"/>
  <c r="F59" i="55"/>
  <c r="I59" i="55" s="1"/>
  <c r="L59" i="55" s="1"/>
  <c r="E81" i="55"/>
  <c r="E82" i="55"/>
  <c r="E83" i="55"/>
  <c r="H98" i="55"/>
  <c r="K98" i="55" s="1"/>
  <c r="N98" i="55" s="1"/>
  <c r="G98" i="55"/>
  <c r="J98" i="55" s="1"/>
  <c r="M98" i="55" s="1"/>
  <c r="E77" i="55"/>
  <c r="E78" i="55"/>
  <c r="E79" i="55"/>
  <c r="G89" i="55"/>
  <c r="G126" i="55" s="1"/>
  <c r="E60" i="55"/>
  <c r="E64" i="55"/>
  <c r="E68" i="55"/>
  <c r="E72" i="55"/>
  <c r="H114" i="55"/>
  <c r="K114" i="55" s="1"/>
  <c r="N114" i="55" s="1"/>
  <c r="G50" i="55"/>
  <c r="E52" i="55"/>
  <c r="E73" i="55"/>
  <c r="E74" i="55"/>
  <c r="E80" i="55"/>
  <c r="E76" i="55"/>
  <c r="E57" i="55"/>
  <c r="E61" i="55"/>
  <c r="E65" i="55"/>
  <c r="E69" i="55"/>
  <c r="H118" i="55"/>
  <c r="K118" i="55" s="1"/>
  <c r="N118" i="55" s="1"/>
  <c r="E99" i="55"/>
  <c r="E103" i="55"/>
  <c r="E107" i="55"/>
  <c r="E111" i="55"/>
  <c r="E115" i="55"/>
  <c r="E119" i="55"/>
  <c r="E123" i="55"/>
  <c r="E94" i="55"/>
  <c r="F95" i="55"/>
  <c r="I95" i="55" s="1"/>
  <c r="E93" i="55"/>
  <c r="G95" i="55"/>
  <c r="J95" i="55" s="1"/>
  <c r="E96" i="55"/>
  <c r="E100" i="55"/>
  <c r="E104" i="55"/>
  <c r="E108" i="55"/>
  <c r="E112" i="55"/>
  <c r="E116" i="55"/>
  <c r="E120" i="55"/>
  <c r="E124" i="55"/>
  <c r="E101" i="55"/>
  <c r="E105" i="55"/>
  <c r="E109" i="55"/>
  <c r="E113" i="55"/>
  <c r="E117" i="55"/>
  <c r="E121" i="55"/>
  <c r="H62" i="55" l="1"/>
  <c r="K62" i="55" s="1"/>
  <c r="N62" i="55" s="1"/>
  <c r="F106" i="55"/>
  <c r="I106" i="55" s="1"/>
  <c r="L106" i="55" s="1"/>
  <c r="G106" i="55"/>
  <c r="J106" i="55" s="1"/>
  <c r="M106" i="55" s="1"/>
  <c r="G118" i="55"/>
  <c r="J118" i="55" s="1"/>
  <c r="M118" i="55" s="1"/>
  <c r="H48" i="55"/>
  <c r="K48" i="55" s="1"/>
  <c r="N48" i="55" s="1"/>
  <c r="F114" i="55"/>
  <c r="I114" i="55" s="1"/>
  <c r="L114" i="55" s="1"/>
  <c r="I47" i="55"/>
  <c r="I84" i="55" s="1"/>
  <c r="I85" i="55" s="1"/>
  <c r="F66" i="55"/>
  <c r="I66" i="55" s="1"/>
  <c r="L66" i="55" s="1"/>
  <c r="H66" i="55"/>
  <c r="K66" i="55" s="1"/>
  <c r="N66" i="55" s="1"/>
  <c r="H51" i="55"/>
  <c r="K51" i="55" s="1"/>
  <c r="N51" i="55" s="1"/>
  <c r="H97" i="55"/>
  <c r="K97" i="55" s="1"/>
  <c r="N97" i="55" s="1"/>
  <c r="G97" i="55"/>
  <c r="J97" i="55" s="1"/>
  <c r="M97" i="55" s="1"/>
  <c r="F97" i="55"/>
  <c r="I97" i="55" s="1"/>
  <c r="L97" i="55" s="1"/>
  <c r="F92" i="55"/>
  <c r="G92" i="55"/>
  <c r="H92" i="55"/>
  <c r="H89" i="55"/>
  <c r="H126" i="55" s="1"/>
  <c r="K127" i="55" s="1"/>
  <c r="F89" i="55"/>
  <c r="F126" i="55" s="1"/>
  <c r="G90" i="55"/>
  <c r="H90" i="55"/>
  <c r="H91" i="55"/>
  <c r="G91" i="55"/>
  <c r="F91" i="55"/>
  <c r="F113" i="55"/>
  <c r="I113" i="55" s="1"/>
  <c r="L113" i="55" s="1"/>
  <c r="H113" i="55"/>
  <c r="K113" i="55" s="1"/>
  <c r="N113" i="55" s="1"/>
  <c r="G113" i="55"/>
  <c r="J113" i="55" s="1"/>
  <c r="M113" i="55" s="1"/>
  <c r="G72" i="55"/>
  <c r="J72" i="55" s="1"/>
  <c r="M72" i="55" s="1"/>
  <c r="F72" i="55"/>
  <c r="I72" i="55" s="1"/>
  <c r="L72" i="55" s="1"/>
  <c r="H72" i="55"/>
  <c r="K72" i="55" s="1"/>
  <c r="N72" i="55" s="1"/>
  <c r="F109" i="55"/>
  <c r="I109" i="55" s="1"/>
  <c r="L109" i="55" s="1"/>
  <c r="H109" i="55"/>
  <c r="K109" i="55" s="1"/>
  <c r="N109" i="55" s="1"/>
  <c r="G109" i="55"/>
  <c r="J109" i="55" s="1"/>
  <c r="M109" i="55" s="1"/>
  <c r="G104" i="55"/>
  <c r="J104" i="55" s="1"/>
  <c r="M104" i="55" s="1"/>
  <c r="F104" i="55"/>
  <c r="I104" i="55" s="1"/>
  <c r="L104" i="55" s="1"/>
  <c r="H104" i="55"/>
  <c r="K104" i="55" s="1"/>
  <c r="N104" i="55" s="1"/>
  <c r="H119" i="55"/>
  <c r="K119" i="55" s="1"/>
  <c r="N119" i="55" s="1"/>
  <c r="G119" i="55"/>
  <c r="J119" i="55" s="1"/>
  <c r="M119" i="55" s="1"/>
  <c r="F119" i="55"/>
  <c r="I119" i="55" s="1"/>
  <c r="L119" i="55" s="1"/>
  <c r="H69" i="55"/>
  <c r="K69" i="55" s="1"/>
  <c r="N69" i="55" s="1"/>
  <c r="F69" i="55"/>
  <c r="I69" i="55" s="1"/>
  <c r="L69" i="55" s="1"/>
  <c r="G69" i="55"/>
  <c r="J69" i="55" s="1"/>
  <c r="M69" i="55" s="1"/>
  <c r="H74" i="55"/>
  <c r="K74" i="55" s="1"/>
  <c r="N74" i="55" s="1"/>
  <c r="F74" i="55"/>
  <c r="I74" i="55" s="1"/>
  <c r="L74" i="55" s="1"/>
  <c r="G74" i="55"/>
  <c r="J74" i="55" s="1"/>
  <c r="M74" i="55" s="1"/>
  <c r="G68" i="55"/>
  <c r="J68" i="55" s="1"/>
  <c r="M68" i="55" s="1"/>
  <c r="F68" i="55"/>
  <c r="I68" i="55" s="1"/>
  <c r="L68" i="55" s="1"/>
  <c r="H68" i="55"/>
  <c r="K68" i="55" s="1"/>
  <c r="N68" i="55" s="1"/>
  <c r="L47" i="55"/>
  <c r="L84" i="55" s="1"/>
  <c r="B27" i="55"/>
  <c r="F117" i="55"/>
  <c r="I117" i="55" s="1"/>
  <c r="L117" i="55" s="1"/>
  <c r="H117" i="55"/>
  <c r="K117" i="55" s="1"/>
  <c r="N117" i="55" s="1"/>
  <c r="G117" i="55"/>
  <c r="J117" i="55" s="1"/>
  <c r="M117" i="55" s="1"/>
  <c r="H112" i="55"/>
  <c r="K112" i="55" s="1"/>
  <c r="N112" i="55" s="1"/>
  <c r="G112" i="55"/>
  <c r="J112" i="55" s="1"/>
  <c r="M112" i="55" s="1"/>
  <c r="F112" i="55"/>
  <c r="I112" i="55" s="1"/>
  <c r="L112" i="55" s="1"/>
  <c r="F94" i="55"/>
  <c r="H94" i="55"/>
  <c r="G94" i="55"/>
  <c r="H108" i="55"/>
  <c r="K108" i="55" s="1"/>
  <c r="N108" i="55" s="1"/>
  <c r="G108" i="55"/>
  <c r="J108" i="55" s="1"/>
  <c r="M108" i="55" s="1"/>
  <c r="F108" i="55"/>
  <c r="I108" i="55" s="1"/>
  <c r="L108" i="55" s="1"/>
  <c r="H115" i="55"/>
  <c r="K115" i="55" s="1"/>
  <c r="N115" i="55" s="1"/>
  <c r="G115" i="55"/>
  <c r="J115" i="55" s="1"/>
  <c r="M115" i="55" s="1"/>
  <c r="F115" i="55"/>
  <c r="I115" i="55" s="1"/>
  <c r="L115" i="55" s="1"/>
  <c r="F73" i="55"/>
  <c r="I73" i="55" s="1"/>
  <c r="L73" i="55" s="1"/>
  <c r="H73" i="55"/>
  <c r="K73" i="55" s="1"/>
  <c r="N73" i="55" s="1"/>
  <c r="G73" i="55"/>
  <c r="J73" i="55" s="1"/>
  <c r="M73" i="55" s="1"/>
  <c r="G96" i="55"/>
  <c r="J96" i="55" s="1"/>
  <c r="M96" i="55" s="1"/>
  <c r="F96" i="55"/>
  <c r="I96" i="55" s="1"/>
  <c r="L96" i="55" s="1"/>
  <c r="H96" i="55"/>
  <c r="K96" i="55" s="1"/>
  <c r="N96" i="55" s="1"/>
  <c r="H61" i="55"/>
  <c r="K61" i="55" s="1"/>
  <c r="N61" i="55" s="1"/>
  <c r="G61" i="55"/>
  <c r="J61" i="55" s="1"/>
  <c r="M61" i="55" s="1"/>
  <c r="F61" i="55"/>
  <c r="I61" i="55" s="1"/>
  <c r="L61" i="55" s="1"/>
  <c r="G60" i="55"/>
  <c r="J60" i="55" s="1"/>
  <c r="M60" i="55" s="1"/>
  <c r="F60" i="55"/>
  <c r="I60" i="55" s="1"/>
  <c r="L60" i="55" s="1"/>
  <c r="H60" i="55"/>
  <c r="K60" i="55" s="1"/>
  <c r="N60" i="55" s="1"/>
  <c r="J126" i="55"/>
  <c r="M95" i="55"/>
  <c r="M126" i="55" s="1"/>
  <c r="H107" i="55"/>
  <c r="K107" i="55" s="1"/>
  <c r="N107" i="55" s="1"/>
  <c r="G107" i="55"/>
  <c r="J107" i="55" s="1"/>
  <c r="M107" i="55" s="1"/>
  <c r="F107" i="55"/>
  <c r="I107" i="55" s="1"/>
  <c r="L107" i="55" s="1"/>
  <c r="H57" i="55"/>
  <c r="K57" i="55" s="1"/>
  <c r="N57" i="55" s="1"/>
  <c r="G57" i="55"/>
  <c r="J57" i="55" s="1"/>
  <c r="M57" i="55" s="1"/>
  <c r="F57" i="55"/>
  <c r="I57" i="55" s="1"/>
  <c r="L57" i="55" s="1"/>
  <c r="J127" i="55"/>
  <c r="H82" i="55"/>
  <c r="K82" i="55" s="1"/>
  <c r="N82" i="55" s="1"/>
  <c r="G82" i="55"/>
  <c r="J82" i="55" s="1"/>
  <c r="M82" i="55" s="1"/>
  <c r="F82" i="55"/>
  <c r="I82" i="55" s="1"/>
  <c r="L82" i="55" s="1"/>
  <c r="H77" i="55"/>
  <c r="K77" i="55" s="1"/>
  <c r="N77" i="55" s="1"/>
  <c r="G77" i="55"/>
  <c r="J77" i="55" s="1"/>
  <c r="M77" i="55" s="1"/>
  <c r="F77" i="55"/>
  <c r="I77" i="55" s="1"/>
  <c r="L77" i="55" s="1"/>
  <c r="H123" i="55"/>
  <c r="K123" i="55" s="1"/>
  <c r="N123" i="55" s="1"/>
  <c r="G123" i="55"/>
  <c r="J123" i="55" s="1"/>
  <c r="M123" i="55" s="1"/>
  <c r="F123" i="55"/>
  <c r="I123" i="55" s="1"/>
  <c r="L123" i="55" s="1"/>
  <c r="H105" i="55"/>
  <c r="K105" i="55" s="1"/>
  <c r="N105" i="55" s="1"/>
  <c r="G105" i="55"/>
  <c r="J105" i="55" s="1"/>
  <c r="M105" i="55" s="1"/>
  <c r="F105" i="55"/>
  <c r="I105" i="55" s="1"/>
  <c r="L105" i="55" s="1"/>
  <c r="G100" i="55"/>
  <c r="J100" i="55" s="1"/>
  <c r="M100" i="55" s="1"/>
  <c r="F100" i="55"/>
  <c r="I100" i="55" s="1"/>
  <c r="L100" i="55" s="1"/>
  <c r="H100" i="55"/>
  <c r="K100" i="55" s="1"/>
  <c r="N100" i="55" s="1"/>
  <c r="H65" i="55"/>
  <c r="K65" i="55" s="1"/>
  <c r="N65" i="55" s="1"/>
  <c r="G65" i="55"/>
  <c r="J65" i="55" s="1"/>
  <c r="M65" i="55" s="1"/>
  <c r="F65" i="55"/>
  <c r="I65" i="55" s="1"/>
  <c r="L65" i="55" s="1"/>
  <c r="G64" i="55"/>
  <c r="J64" i="55" s="1"/>
  <c r="M64" i="55" s="1"/>
  <c r="F64" i="55"/>
  <c r="I64" i="55" s="1"/>
  <c r="L64" i="55" s="1"/>
  <c r="H64" i="55"/>
  <c r="K64" i="55" s="1"/>
  <c r="N64" i="55" s="1"/>
  <c r="H101" i="55"/>
  <c r="K101" i="55" s="1"/>
  <c r="N101" i="55" s="1"/>
  <c r="G101" i="55"/>
  <c r="J101" i="55" s="1"/>
  <c r="M101" i="55" s="1"/>
  <c r="F101" i="55"/>
  <c r="I101" i="55" s="1"/>
  <c r="L101" i="55" s="1"/>
  <c r="H111" i="55"/>
  <c r="K111" i="55" s="1"/>
  <c r="N111" i="55" s="1"/>
  <c r="G111" i="55"/>
  <c r="J111" i="55" s="1"/>
  <c r="M111" i="55" s="1"/>
  <c r="F111" i="55"/>
  <c r="I111" i="55" s="1"/>
  <c r="L111" i="55" s="1"/>
  <c r="F52" i="55"/>
  <c r="I52" i="55" s="1"/>
  <c r="L52" i="55" s="1"/>
  <c r="H52" i="55"/>
  <c r="K52" i="55" s="1"/>
  <c r="N52" i="55" s="1"/>
  <c r="G52" i="55"/>
  <c r="G83" i="55"/>
  <c r="J83" i="55" s="1"/>
  <c r="M83" i="55" s="1"/>
  <c r="F83" i="55"/>
  <c r="I83" i="55" s="1"/>
  <c r="L83" i="55" s="1"/>
  <c r="H83" i="55"/>
  <c r="K83" i="55" s="1"/>
  <c r="N83" i="55" s="1"/>
  <c r="H124" i="55"/>
  <c r="K124" i="55" s="1"/>
  <c r="N124" i="55" s="1"/>
  <c r="G124" i="55"/>
  <c r="J124" i="55" s="1"/>
  <c r="M124" i="55" s="1"/>
  <c r="F124" i="55"/>
  <c r="I124" i="55" s="1"/>
  <c r="L124" i="55" s="1"/>
  <c r="H120" i="55"/>
  <c r="K120" i="55" s="1"/>
  <c r="N120" i="55" s="1"/>
  <c r="G120" i="55"/>
  <c r="J120" i="55" s="1"/>
  <c r="M120" i="55" s="1"/>
  <c r="F120" i="55"/>
  <c r="I120" i="55" s="1"/>
  <c r="L120" i="55" s="1"/>
  <c r="H93" i="55"/>
  <c r="G93" i="55"/>
  <c r="F93" i="55"/>
  <c r="H103" i="55"/>
  <c r="K103" i="55" s="1"/>
  <c r="N103" i="55" s="1"/>
  <c r="G103" i="55"/>
  <c r="J103" i="55" s="1"/>
  <c r="M103" i="55" s="1"/>
  <c r="F103" i="55"/>
  <c r="I103" i="55" s="1"/>
  <c r="L103" i="55" s="1"/>
  <c r="H76" i="55"/>
  <c r="K76" i="55" s="1"/>
  <c r="N76" i="55" s="1"/>
  <c r="G76" i="55"/>
  <c r="J76" i="55" s="1"/>
  <c r="M76" i="55" s="1"/>
  <c r="F76" i="55"/>
  <c r="I76" i="55" s="1"/>
  <c r="L76" i="55" s="1"/>
  <c r="G79" i="55"/>
  <c r="J79" i="55" s="1"/>
  <c r="M79" i="55" s="1"/>
  <c r="F79" i="55"/>
  <c r="I79" i="55" s="1"/>
  <c r="L79" i="55" s="1"/>
  <c r="H79" i="55"/>
  <c r="K79" i="55" s="1"/>
  <c r="N79" i="55" s="1"/>
  <c r="H81" i="55"/>
  <c r="K81" i="55" s="1"/>
  <c r="N81" i="55" s="1"/>
  <c r="G81" i="55"/>
  <c r="J81" i="55" s="1"/>
  <c r="M81" i="55" s="1"/>
  <c r="F81" i="55"/>
  <c r="I81" i="55" s="1"/>
  <c r="L81" i="55" s="1"/>
  <c r="F121" i="55"/>
  <c r="I121" i="55" s="1"/>
  <c r="L121" i="55" s="1"/>
  <c r="G121" i="55"/>
  <c r="J121" i="55" s="1"/>
  <c r="M121" i="55" s="1"/>
  <c r="H121" i="55"/>
  <c r="K121" i="55" s="1"/>
  <c r="N121" i="55" s="1"/>
  <c r="H116" i="55"/>
  <c r="K116" i="55" s="1"/>
  <c r="N116" i="55" s="1"/>
  <c r="G116" i="55"/>
  <c r="J116" i="55" s="1"/>
  <c r="M116" i="55" s="1"/>
  <c r="F116" i="55"/>
  <c r="I116" i="55" s="1"/>
  <c r="L116" i="55" s="1"/>
  <c r="I126" i="55"/>
  <c r="L95" i="55"/>
  <c r="L126" i="55" s="1"/>
  <c r="H99" i="55"/>
  <c r="K99" i="55" s="1"/>
  <c r="N99" i="55" s="1"/>
  <c r="G99" i="55"/>
  <c r="J99" i="55" s="1"/>
  <c r="M99" i="55" s="1"/>
  <c r="F99" i="55"/>
  <c r="I99" i="55" s="1"/>
  <c r="L99" i="55" s="1"/>
  <c r="H80" i="55"/>
  <c r="K80" i="55" s="1"/>
  <c r="N80" i="55" s="1"/>
  <c r="G80" i="55"/>
  <c r="J80" i="55" s="1"/>
  <c r="M80" i="55" s="1"/>
  <c r="F80" i="55"/>
  <c r="I80" i="55" s="1"/>
  <c r="L80" i="55" s="1"/>
  <c r="H78" i="55"/>
  <c r="K78" i="55" s="1"/>
  <c r="N78" i="55" s="1"/>
  <c r="G78" i="55"/>
  <c r="J78" i="55" s="1"/>
  <c r="M78" i="55" s="1"/>
  <c r="F78" i="55"/>
  <c r="I78" i="55" s="1"/>
  <c r="L78" i="55" s="1"/>
  <c r="K84" i="55"/>
  <c r="K85" i="55" s="1"/>
  <c r="N47" i="55"/>
  <c r="N84" i="55" s="1"/>
  <c r="I127" i="55" l="1"/>
  <c r="B28" i="55"/>
  <c r="B29" i="55" l="1"/>
  <c r="B30" i="55" l="1"/>
  <c r="B31" i="55" l="1"/>
  <c r="B32" i="55" l="1"/>
  <c r="B33" i="55" l="1"/>
  <c r="B34" i="55" l="1"/>
  <c r="B35" i="55" l="1"/>
  <c r="B36" i="55" l="1"/>
  <c r="B37" i="55" l="1"/>
  <c r="B38" i="55" l="1"/>
  <c r="B39" i="55" l="1"/>
  <c r="B40" i="55" l="1"/>
  <c r="B41" i="55" l="1"/>
  <c r="D167" i="57" l="1"/>
  <c r="C167" i="57"/>
  <c r="B167" i="57"/>
  <c r="E96" i="57"/>
  <c r="E125" i="57" s="1"/>
  <c r="N95" i="57"/>
  <c r="M95" i="57"/>
  <c r="L95" i="57"/>
  <c r="N94" i="57"/>
  <c r="M94" i="57"/>
  <c r="L94" i="57"/>
  <c r="N93" i="57"/>
  <c r="M93" i="57"/>
  <c r="L93" i="57"/>
  <c r="E93" i="57"/>
  <c r="N92" i="57"/>
  <c r="M92" i="57"/>
  <c r="L92" i="57"/>
  <c r="N91" i="57"/>
  <c r="M91" i="57"/>
  <c r="L91" i="57"/>
  <c r="E91" i="57"/>
  <c r="H91" i="57" s="1"/>
  <c r="N90" i="57"/>
  <c r="M90" i="57"/>
  <c r="L90" i="57"/>
  <c r="E54" i="57"/>
  <c r="E61" i="57" s="1"/>
  <c r="M53" i="57"/>
  <c r="E53" i="57"/>
  <c r="M52" i="57"/>
  <c r="M51" i="57"/>
  <c r="M50" i="57"/>
  <c r="E50" i="57"/>
  <c r="M49" i="57"/>
  <c r="E49" i="57"/>
  <c r="F49" i="57" s="1"/>
  <c r="I49" i="57" s="1"/>
  <c r="L49" i="57" s="1"/>
  <c r="M48" i="57"/>
  <c r="C11" i="57"/>
  <c r="C12" i="57" s="1"/>
  <c r="C13" i="57" s="1"/>
  <c r="C14" i="57" s="1"/>
  <c r="C15" i="57" s="1"/>
  <c r="C16" i="57" s="1"/>
  <c r="C17" i="57" s="1"/>
  <c r="C18" i="57" s="1"/>
  <c r="C19" i="57" s="1"/>
  <c r="C20" i="57" s="1"/>
  <c r="C21" i="57" s="1"/>
  <c r="C22" i="57" s="1"/>
  <c r="C23" i="57" s="1"/>
  <c r="C24" i="57" s="1"/>
  <c r="C25" i="57" s="1"/>
  <c r="C26" i="57" s="1"/>
  <c r="C27" i="57" s="1"/>
  <c r="C28" i="57" s="1"/>
  <c r="C29" i="57" s="1"/>
  <c r="C30" i="57" s="1"/>
  <c r="C31" i="57" s="1"/>
  <c r="C32" i="57" s="1"/>
  <c r="C33" i="57" s="1"/>
  <c r="C34" i="57" s="1"/>
  <c r="C35" i="57" s="1"/>
  <c r="C36" i="57" s="1"/>
  <c r="C37" i="57" s="1"/>
  <c r="C38" i="57" s="1"/>
  <c r="C39" i="57" s="1"/>
  <c r="C40" i="57" s="1"/>
  <c r="C41" i="57" s="1"/>
  <c r="C10" i="57"/>
  <c r="B10" i="57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B37" i="57" s="1"/>
  <c r="B38" i="57" s="1"/>
  <c r="B39" i="57" s="1"/>
  <c r="B40" i="57" s="1"/>
  <c r="B41" i="57" s="1"/>
  <c r="G134" i="57"/>
  <c r="F134" i="57"/>
  <c r="E134" i="57"/>
  <c r="B8" i="57"/>
  <c r="G133" i="57"/>
  <c r="F133" i="57"/>
  <c r="E133" i="57"/>
  <c r="D7" i="57"/>
  <c r="D8" i="57" s="1"/>
  <c r="D9" i="57" s="1"/>
  <c r="D10" i="57" s="1"/>
  <c r="D11" i="57" s="1"/>
  <c r="D12" i="57" s="1"/>
  <c r="D13" i="57" s="1"/>
  <c r="D14" i="57" s="1"/>
  <c r="D15" i="57" s="1"/>
  <c r="D16" i="57" s="1"/>
  <c r="D17" i="57" s="1"/>
  <c r="D18" i="57" s="1"/>
  <c r="D19" i="57" s="1"/>
  <c r="D20" i="57" s="1"/>
  <c r="D21" i="57" s="1"/>
  <c r="D22" i="57" s="1"/>
  <c r="D23" i="57" s="1"/>
  <c r="D24" i="57" s="1"/>
  <c r="D25" i="57" s="1"/>
  <c r="D26" i="57" s="1"/>
  <c r="D27" i="57" s="1"/>
  <c r="D28" i="57" s="1"/>
  <c r="D29" i="57" s="1"/>
  <c r="D30" i="57" s="1"/>
  <c r="D31" i="57" s="1"/>
  <c r="D32" i="57" s="1"/>
  <c r="D33" i="57" s="1"/>
  <c r="D34" i="57" s="1"/>
  <c r="D35" i="57" s="1"/>
  <c r="D36" i="57" s="1"/>
  <c r="D37" i="57" s="1"/>
  <c r="D38" i="57" s="1"/>
  <c r="D39" i="57" s="1"/>
  <c r="D40" i="57" s="1"/>
  <c r="D41" i="57" s="1"/>
  <c r="B7" i="57"/>
  <c r="B6" i="57" s="1"/>
  <c r="E132" i="57"/>
  <c r="E90" i="57" l="1"/>
  <c r="H90" i="57" s="1"/>
  <c r="H127" i="57" s="1"/>
  <c r="H54" i="57"/>
  <c r="K54" i="57" s="1"/>
  <c r="N54" i="57" s="1"/>
  <c r="E92" i="57"/>
  <c r="H92" i="57" s="1"/>
  <c r="E48" i="57"/>
  <c r="E52" i="57"/>
  <c r="H61" i="57"/>
  <c r="K61" i="57" s="1"/>
  <c r="N61" i="57" s="1"/>
  <c r="F61" i="57"/>
  <c r="I61" i="57" s="1"/>
  <c r="L61" i="57" s="1"/>
  <c r="E56" i="57"/>
  <c r="H56" i="57" s="1"/>
  <c r="K56" i="57" s="1"/>
  <c r="N56" i="57" s="1"/>
  <c r="E64" i="57"/>
  <c r="H64" i="57" s="1"/>
  <c r="K64" i="57" s="1"/>
  <c r="N64" i="57" s="1"/>
  <c r="H133" i="57"/>
  <c r="I133" i="57" s="1"/>
  <c r="E57" i="57"/>
  <c r="G57" i="57" s="1"/>
  <c r="J57" i="57" s="1"/>
  <c r="M57" i="57" s="1"/>
  <c r="E68" i="57"/>
  <c r="G68" i="57" s="1"/>
  <c r="J68" i="57" s="1"/>
  <c r="M68" i="57" s="1"/>
  <c r="H96" i="57"/>
  <c r="K96" i="57" s="1"/>
  <c r="E60" i="57"/>
  <c r="H60" i="57" s="1"/>
  <c r="K60" i="57" s="1"/>
  <c r="N60" i="57" s="1"/>
  <c r="F48" i="57"/>
  <c r="F85" i="57" s="1"/>
  <c r="G50" i="57"/>
  <c r="F50" i="57"/>
  <c r="I50" i="57" s="1"/>
  <c r="L50" i="57" s="1"/>
  <c r="F132" i="57"/>
  <c r="H50" i="57"/>
  <c r="K50" i="57" s="1"/>
  <c r="N50" i="57" s="1"/>
  <c r="G64" i="57"/>
  <c r="J64" i="57" s="1"/>
  <c r="M64" i="57" s="1"/>
  <c r="F64" i="57"/>
  <c r="I64" i="57" s="1"/>
  <c r="L64" i="57" s="1"/>
  <c r="H68" i="57"/>
  <c r="K68" i="57" s="1"/>
  <c r="N68" i="57" s="1"/>
  <c r="H49" i="57"/>
  <c r="K49" i="57" s="1"/>
  <c r="N49" i="57" s="1"/>
  <c r="G49" i="57"/>
  <c r="H53" i="57"/>
  <c r="K53" i="57" s="1"/>
  <c r="N53" i="57" s="1"/>
  <c r="G53" i="57"/>
  <c r="F53" i="57"/>
  <c r="I53" i="57" s="1"/>
  <c r="L53" i="57" s="1"/>
  <c r="H125" i="57"/>
  <c r="K125" i="57" s="1"/>
  <c r="N125" i="57" s="1"/>
  <c r="G125" i="57"/>
  <c r="J125" i="57" s="1"/>
  <c r="M125" i="57" s="1"/>
  <c r="F125" i="57"/>
  <c r="I125" i="57" s="1"/>
  <c r="L125" i="57" s="1"/>
  <c r="G132" i="57"/>
  <c r="H134" i="57"/>
  <c r="I134" i="57" s="1"/>
  <c r="G52" i="57"/>
  <c r="E81" i="57"/>
  <c r="E77" i="57"/>
  <c r="E73" i="57"/>
  <c r="E84" i="57"/>
  <c r="E80" i="57"/>
  <c r="E76" i="57"/>
  <c r="E72" i="57"/>
  <c r="E83" i="57"/>
  <c r="E79" i="57"/>
  <c r="E75" i="57"/>
  <c r="E82" i="57"/>
  <c r="E78" i="57"/>
  <c r="E74" i="57"/>
  <c r="E58" i="57"/>
  <c r="G61" i="57"/>
  <c r="J61" i="57" s="1"/>
  <c r="M61" i="57" s="1"/>
  <c r="E62" i="57"/>
  <c r="E66" i="57"/>
  <c r="E70" i="57"/>
  <c r="H93" i="57"/>
  <c r="G93" i="57"/>
  <c r="F93" i="57"/>
  <c r="F54" i="57"/>
  <c r="I54" i="57" s="1"/>
  <c r="L54" i="57" s="1"/>
  <c r="G54" i="57"/>
  <c r="J54" i="57" s="1"/>
  <c r="E55" i="57"/>
  <c r="E59" i="57"/>
  <c r="E63" i="57"/>
  <c r="E67" i="57"/>
  <c r="E71" i="57"/>
  <c r="E51" i="57"/>
  <c r="E65" i="57"/>
  <c r="E69" i="57"/>
  <c r="E98" i="57"/>
  <c r="E102" i="57"/>
  <c r="E106" i="57"/>
  <c r="E110" i="57"/>
  <c r="E114" i="57"/>
  <c r="E118" i="57"/>
  <c r="E122" i="57"/>
  <c r="E126" i="57"/>
  <c r="F91" i="57"/>
  <c r="E99" i="57"/>
  <c r="E103" i="57"/>
  <c r="E107" i="57"/>
  <c r="E111" i="57"/>
  <c r="E115" i="57"/>
  <c r="E119" i="57"/>
  <c r="E123" i="57"/>
  <c r="F90" i="57"/>
  <c r="F127" i="57" s="1"/>
  <c r="G91" i="57"/>
  <c r="G90" i="57"/>
  <c r="G127" i="57" s="1"/>
  <c r="E100" i="57"/>
  <c r="E104" i="57"/>
  <c r="E108" i="57"/>
  <c r="E112" i="57"/>
  <c r="E116" i="57"/>
  <c r="E120" i="57"/>
  <c r="E124" i="57"/>
  <c r="E95" i="57"/>
  <c r="F96" i="57"/>
  <c r="I96" i="57" s="1"/>
  <c r="E94" i="57"/>
  <c r="G96" i="57"/>
  <c r="J96" i="57" s="1"/>
  <c r="E97" i="57"/>
  <c r="E101" i="57"/>
  <c r="E105" i="57"/>
  <c r="E109" i="57"/>
  <c r="E113" i="57"/>
  <c r="E117" i="57"/>
  <c r="E121" i="57"/>
  <c r="F92" i="57" l="1"/>
  <c r="G92" i="57"/>
  <c r="I48" i="57"/>
  <c r="F60" i="57"/>
  <c r="I60" i="57" s="1"/>
  <c r="L60" i="57" s="1"/>
  <c r="G60" i="57"/>
  <c r="J60" i="57" s="1"/>
  <c r="M60" i="57" s="1"/>
  <c r="H132" i="57"/>
  <c r="H52" i="57"/>
  <c r="K52" i="57" s="1"/>
  <c r="N52" i="57" s="1"/>
  <c r="F52" i="57"/>
  <c r="I52" i="57" s="1"/>
  <c r="L52" i="57" s="1"/>
  <c r="F56" i="57"/>
  <c r="I56" i="57" s="1"/>
  <c r="L56" i="57" s="1"/>
  <c r="H48" i="57"/>
  <c r="G48" i="57"/>
  <c r="G85" i="57" s="1"/>
  <c r="G56" i="57"/>
  <c r="J56" i="57" s="1"/>
  <c r="M56" i="57" s="1"/>
  <c r="N96" i="57"/>
  <c r="N127" i="57" s="1"/>
  <c r="K127" i="57"/>
  <c r="K128" i="57" s="1"/>
  <c r="H57" i="57"/>
  <c r="K57" i="57" s="1"/>
  <c r="N57" i="57" s="1"/>
  <c r="F57" i="57"/>
  <c r="I57" i="57" s="1"/>
  <c r="L57" i="57" s="1"/>
  <c r="F68" i="57"/>
  <c r="I68" i="57" s="1"/>
  <c r="L68" i="57" s="1"/>
  <c r="H83" i="57"/>
  <c r="K83" i="57" s="1"/>
  <c r="N83" i="57" s="1"/>
  <c r="G83" i="57"/>
  <c r="J83" i="57" s="1"/>
  <c r="M83" i="57" s="1"/>
  <c r="F83" i="57"/>
  <c r="I83" i="57" s="1"/>
  <c r="L83" i="57" s="1"/>
  <c r="G155" i="57"/>
  <c r="F155" i="57"/>
  <c r="E155" i="57"/>
  <c r="E161" i="57"/>
  <c r="G161" i="57"/>
  <c r="F161" i="57"/>
  <c r="F156" i="57"/>
  <c r="G156" i="57"/>
  <c r="E156" i="57"/>
  <c r="E146" i="57"/>
  <c r="G146" i="57"/>
  <c r="F146" i="57"/>
  <c r="G158" i="57"/>
  <c r="F158" i="57"/>
  <c r="E158" i="57"/>
  <c r="F164" i="57"/>
  <c r="G164" i="57"/>
  <c r="E164" i="57"/>
  <c r="F51" i="57"/>
  <c r="I51" i="57" s="1"/>
  <c r="L51" i="57" s="1"/>
  <c r="H51" i="57"/>
  <c r="K51" i="57" s="1"/>
  <c r="N51" i="57" s="1"/>
  <c r="G51" i="57"/>
  <c r="G58" i="57"/>
  <c r="J58" i="57" s="1"/>
  <c r="M58" i="57" s="1"/>
  <c r="F58" i="57"/>
  <c r="I58" i="57" s="1"/>
  <c r="L58" i="57" s="1"/>
  <c r="H58" i="57"/>
  <c r="K58" i="57" s="1"/>
  <c r="N58" i="57" s="1"/>
  <c r="G72" i="57"/>
  <c r="J72" i="57" s="1"/>
  <c r="M72" i="57" s="1"/>
  <c r="F72" i="57"/>
  <c r="I72" i="57" s="1"/>
  <c r="L72" i="57" s="1"/>
  <c r="H72" i="57"/>
  <c r="K72" i="57" s="1"/>
  <c r="N72" i="57" s="1"/>
  <c r="E145" i="57"/>
  <c r="G145" i="57"/>
  <c r="F145" i="57"/>
  <c r="G140" i="57"/>
  <c r="F140" i="57"/>
  <c r="E140" i="57"/>
  <c r="E154" i="57"/>
  <c r="G154" i="57"/>
  <c r="F154" i="57"/>
  <c r="G166" i="57"/>
  <c r="F166" i="57"/>
  <c r="E166" i="57"/>
  <c r="F148" i="57"/>
  <c r="G148" i="57"/>
  <c r="E148" i="57"/>
  <c r="H109" i="57"/>
  <c r="K109" i="57" s="1"/>
  <c r="N109" i="57" s="1"/>
  <c r="G109" i="57"/>
  <c r="J109" i="57" s="1"/>
  <c r="M109" i="57" s="1"/>
  <c r="F109" i="57"/>
  <c r="I109" i="57" s="1"/>
  <c r="L109" i="57" s="1"/>
  <c r="G124" i="57"/>
  <c r="J124" i="57" s="1"/>
  <c r="M124" i="57" s="1"/>
  <c r="F124" i="57"/>
  <c r="I124" i="57" s="1"/>
  <c r="L124" i="57" s="1"/>
  <c r="H124" i="57"/>
  <c r="K124" i="57" s="1"/>
  <c r="N124" i="57" s="1"/>
  <c r="H99" i="57"/>
  <c r="K99" i="57" s="1"/>
  <c r="N99" i="57" s="1"/>
  <c r="G99" i="57"/>
  <c r="J99" i="57" s="1"/>
  <c r="M99" i="57" s="1"/>
  <c r="F99" i="57"/>
  <c r="I99" i="57" s="1"/>
  <c r="L99" i="57" s="1"/>
  <c r="H110" i="57"/>
  <c r="K110" i="57" s="1"/>
  <c r="N110" i="57" s="1"/>
  <c r="G110" i="57"/>
  <c r="J110" i="57" s="1"/>
  <c r="M110" i="57" s="1"/>
  <c r="F110" i="57"/>
  <c r="I110" i="57" s="1"/>
  <c r="L110" i="57" s="1"/>
  <c r="H105" i="57"/>
  <c r="K105" i="57" s="1"/>
  <c r="N105" i="57" s="1"/>
  <c r="G105" i="57"/>
  <c r="J105" i="57" s="1"/>
  <c r="M105" i="57" s="1"/>
  <c r="F105" i="57"/>
  <c r="I105" i="57" s="1"/>
  <c r="L105" i="57" s="1"/>
  <c r="G120" i="57"/>
  <c r="J120" i="57" s="1"/>
  <c r="M120" i="57" s="1"/>
  <c r="F120" i="57"/>
  <c r="I120" i="57" s="1"/>
  <c r="L120" i="57" s="1"/>
  <c r="H120" i="57"/>
  <c r="K120" i="57" s="1"/>
  <c r="N120" i="57" s="1"/>
  <c r="H106" i="57"/>
  <c r="K106" i="57" s="1"/>
  <c r="N106" i="57" s="1"/>
  <c r="G106" i="57"/>
  <c r="J106" i="57" s="1"/>
  <c r="M106" i="57" s="1"/>
  <c r="F106" i="57"/>
  <c r="I106" i="57" s="1"/>
  <c r="L106" i="57" s="1"/>
  <c r="H71" i="57"/>
  <c r="K71" i="57" s="1"/>
  <c r="N71" i="57" s="1"/>
  <c r="G71" i="57"/>
  <c r="J71" i="57" s="1"/>
  <c r="M71" i="57" s="1"/>
  <c r="F71" i="57"/>
  <c r="I71" i="57" s="1"/>
  <c r="L71" i="57" s="1"/>
  <c r="G76" i="57"/>
  <c r="J76" i="57" s="1"/>
  <c r="M76" i="57" s="1"/>
  <c r="F76" i="57"/>
  <c r="I76" i="57" s="1"/>
  <c r="L76" i="57" s="1"/>
  <c r="H76" i="57"/>
  <c r="K76" i="57" s="1"/>
  <c r="N76" i="57" s="1"/>
  <c r="G160" i="57"/>
  <c r="F160" i="57"/>
  <c r="E160" i="57"/>
  <c r="F137" i="57"/>
  <c r="G137" i="57"/>
  <c r="E137" i="57"/>
  <c r="E162" i="57"/>
  <c r="G162" i="57"/>
  <c r="F162" i="57"/>
  <c r="G143" i="57"/>
  <c r="E143" i="57"/>
  <c r="F143" i="57"/>
  <c r="H113" i="57"/>
  <c r="K113" i="57" s="1"/>
  <c r="N113" i="57" s="1"/>
  <c r="G113" i="57"/>
  <c r="J113" i="57" s="1"/>
  <c r="M113" i="57" s="1"/>
  <c r="F113" i="57"/>
  <c r="I113" i="57" s="1"/>
  <c r="L113" i="57" s="1"/>
  <c r="H114" i="57"/>
  <c r="K114" i="57" s="1"/>
  <c r="N114" i="57" s="1"/>
  <c r="G114" i="57"/>
  <c r="J114" i="57" s="1"/>
  <c r="M114" i="57" s="1"/>
  <c r="F114" i="57"/>
  <c r="I114" i="57" s="1"/>
  <c r="L114" i="57" s="1"/>
  <c r="H102" i="57"/>
  <c r="K102" i="57" s="1"/>
  <c r="N102" i="57" s="1"/>
  <c r="G102" i="57"/>
  <c r="J102" i="57" s="1"/>
  <c r="M102" i="57" s="1"/>
  <c r="F102" i="57"/>
  <c r="I102" i="57" s="1"/>
  <c r="L102" i="57" s="1"/>
  <c r="G116" i="57"/>
  <c r="J116" i="57" s="1"/>
  <c r="M116" i="57" s="1"/>
  <c r="F116" i="57"/>
  <c r="I116" i="57" s="1"/>
  <c r="L116" i="57" s="1"/>
  <c r="H116" i="57"/>
  <c r="K116" i="57" s="1"/>
  <c r="N116" i="57" s="1"/>
  <c r="H67" i="57"/>
  <c r="K67" i="57" s="1"/>
  <c r="N67" i="57" s="1"/>
  <c r="G67" i="57"/>
  <c r="J67" i="57" s="1"/>
  <c r="M67" i="57" s="1"/>
  <c r="F67" i="57"/>
  <c r="I67" i="57" s="1"/>
  <c r="L67" i="57" s="1"/>
  <c r="G151" i="57"/>
  <c r="F151" i="57"/>
  <c r="E151" i="57"/>
  <c r="G112" i="57"/>
  <c r="J112" i="57" s="1"/>
  <c r="M112" i="57" s="1"/>
  <c r="F112" i="57"/>
  <c r="I112" i="57" s="1"/>
  <c r="L112" i="57" s="1"/>
  <c r="H112" i="57"/>
  <c r="K112" i="57" s="1"/>
  <c r="N112" i="57" s="1"/>
  <c r="H63" i="57"/>
  <c r="K63" i="57" s="1"/>
  <c r="N63" i="57" s="1"/>
  <c r="G63" i="57"/>
  <c r="J63" i="57" s="1"/>
  <c r="M63" i="57" s="1"/>
  <c r="F63" i="57"/>
  <c r="I63" i="57" s="1"/>
  <c r="L63" i="57" s="1"/>
  <c r="H78" i="57"/>
  <c r="K78" i="57" s="1"/>
  <c r="N78" i="57" s="1"/>
  <c r="G78" i="57"/>
  <c r="J78" i="57" s="1"/>
  <c r="M78" i="57" s="1"/>
  <c r="F78" i="57"/>
  <c r="I78" i="57" s="1"/>
  <c r="L78" i="57" s="1"/>
  <c r="G84" i="57"/>
  <c r="J84" i="57" s="1"/>
  <c r="M84" i="57" s="1"/>
  <c r="F84" i="57"/>
  <c r="I84" i="57" s="1"/>
  <c r="L84" i="57" s="1"/>
  <c r="H84" i="57"/>
  <c r="K84" i="57" s="1"/>
  <c r="N84" i="57" s="1"/>
  <c r="I132" i="57"/>
  <c r="E141" i="57"/>
  <c r="F141" i="57"/>
  <c r="G141" i="57"/>
  <c r="G159" i="57"/>
  <c r="E159" i="57"/>
  <c r="F159" i="57"/>
  <c r="G138" i="57"/>
  <c r="F138" i="57"/>
  <c r="E138" i="57"/>
  <c r="J127" i="57"/>
  <c r="J128" i="57" s="1"/>
  <c r="M96" i="57"/>
  <c r="M127" i="57" s="1"/>
  <c r="G108" i="57"/>
  <c r="J108" i="57" s="1"/>
  <c r="M108" i="57" s="1"/>
  <c r="F108" i="57"/>
  <c r="I108" i="57" s="1"/>
  <c r="L108" i="57" s="1"/>
  <c r="H108" i="57"/>
  <c r="K108" i="57" s="1"/>
  <c r="N108" i="57" s="1"/>
  <c r="H115" i="57"/>
  <c r="K115" i="57" s="1"/>
  <c r="N115" i="57" s="1"/>
  <c r="G115" i="57"/>
  <c r="J115" i="57" s="1"/>
  <c r="M115" i="57" s="1"/>
  <c r="F115" i="57"/>
  <c r="I115" i="57" s="1"/>
  <c r="L115" i="57" s="1"/>
  <c r="H126" i="57"/>
  <c r="K126" i="57" s="1"/>
  <c r="N126" i="57" s="1"/>
  <c r="G126" i="57"/>
  <c r="J126" i="57" s="1"/>
  <c r="M126" i="57" s="1"/>
  <c r="F126" i="57"/>
  <c r="I126" i="57" s="1"/>
  <c r="L126" i="57" s="1"/>
  <c r="H59" i="57"/>
  <c r="K59" i="57" s="1"/>
  <c r="N59" i="57" s="1"/>
  <c r="G59" i="57"/>
  <c r="J59" i="57" s="1"/>
  <c r="M59" i="57" s="1"/>
  <c r="F59" i="57"/>
  <c r="I59" i="57" s="1"/>
  <c r="L59" i="57" s="1"/>
  <c r="G70" i="57"/>
  <c r="J70" i="57" s="1"/>
  <c r="M70" i="57" s="1"/>
  <c r="F70" i="57"/>
  <c r="I70" i="57" s="1"/>
  <c r="L70" i="57" s="1"/>
  <c r="H70" i="57"/>
  <c r="K70" i="57" s="1"/>
  <c r="N70" i="57" s="1"/>
  <c r="H82" i="57"/>
  <c r="K82" i="57" s="1"/>
  <c r="N82" i="57" s="1"/>
  <c r="G82" i="57"/>
  <c r="J82" i="57" s="1"/>
  <c r="M82" i="57" s="1"/>
  <c r="F82" i="57"/>
  <c r="I82" i="57" s="1"/>
  <c r="L82" i="57" s="1"/>
  <c r="H73" i="57"/>
  <c r="K73" i="57" s="1"/>
  <c r="N73" i="57" s="1"/>
  <c r="G73" i="57"/>
  <c r="J73" i="57" s="1"/>
  <c r="M73" i="57" s="1"/>
  <c r="F73" i="57"/>
  <c r="I73" i="57" s="1"/>
  <c r="L73" i="57" s="1"/>
  <c r="F149" i="57"/>
  <c r="E149" i="57"/>
  <c r="G149" i="57"/>
  <c r="G167" i="57"/>
  <c r="E167" i="57"/>
  <c r="F167" i="57"/>
  <c r="G136" i="57"/>
  <c r="F136" i="57"/>
  <c r="E136" i="57"/>
  <c r="F95" i="57"/>
  <c r="H95" i="57"/>
  <c r="G95" i="57"/>
  <c r="H101" i="57"/>
  <c r="K101" i="57" s="1"/>
  <c r="N101" i="57" s="1"/>
  <c r="G101" i="57"/>
  <c r="J101" i="57" s="1"/>
  <c r="M101" i="57" s="1"/>
  <c r="F101" i="57"/>
  <c r="I101" i="57" s="1"/>
  <c r="L101" i="57" s="1"/>
  <c r="H123" i="57"/>
  <c r="K123" i="57" s="1"/>
  <c r="N123" i="57" s="1"/>
  <c r="G123" i="57"/>
  <c r="J123" i="57" s="1"/>
  <c r="M123" i="57" s="1"/>
  <c r="F123" i="57"/>
  <c r="I123" i="57" s="1"/>
  <c r="L123" i="57" s="1"/>
  <c r="H74" i="57"/>
  <c r="K74" i="57" s="1"/>
  <c r="N74" i="57" s="1"/>
  <c r="G74" i="57"/>
  <c r="J74" i="57" s="1"/>
  <c r="M74" i="57" s="1"/>
  <c r="F74" i="57"/>
  <c r="I74" i="57" s="1"/>
  <c r="L74" i="57" s="1"/>
  <c r="G80" i="57"/>
  <c r="J80" i="57" s="1"/>
  <c r="M80" i="57" s="1"/>
  <c r="F80" i="57"/>
  <c r="I80" i="57" s="1"/>
  <c r="L80" i="57" s="1"/>
  <c r="H80" i="57"/>
  <c r="K80" i="57" s="1"/>
  <c r="N80" i="57" s="1"/>
  <c r="G144" i="57"/>
  <c r="F144" i="57"/>
  <c r="E144" i="57"/>
  <c r="G152" i="57"/>
  <c r="F152" i="57"/>
  <c r="E152" i="57"/>
  <c r="E153" i="57"/>
  <c r="G153" i="57"/>
  <c r="F153" i="57"/>
  <c r="H119" i="57"/>
  <c r="K119" i="57" s="1"/>
  <c r="N119" i="57" s="1"/>
  <c r="G119" i="57"/>
  <c r="J119" i="57" s="1"/>
  <c r="M119" i="57" s="1"/>
  <c r="F119" i="57"/>
  <c r="I119" i="57" s="1"/>
  <c r="L119" i="57" s="1"/>
  <c r="H98" i="57"/>
  <c r="K98" i="57" s="1"/>
  <c r="N98" i="57" s="1"/>
  <c r="G98" i="57"/>
  <c r="J98" i="57" s="1"/>
  <c r="M98" i="57" s="1"/>
  <c r="F98" i="57"/>
  <c r="I98" i="57" s="1"/>
  <c r="L98" i="57" s="1"/>
  <c r="G139" i="57"/>
  <c r="E139" i="57"/>
  <c r="F139" i="57"/>
  <c r="H121" i="57"/>
  <c r="K121" i="57" s="1"/>
  <c r="N121" i="57" s="1"/>
  <c r="G121" i="57"/>
  <c r="J121" i="57" s="1"/>
  <c r="M121" i="57" s="1"/>
  <c r="F121" i="57"/>
  <c r="I121" i="57" s="1"/>
  <c r="L121" i="57" s="1"/>
  <c r="H94" i="57"/>
  <c r="G94" i="57"/>
  <c r="F94" i="57"/>
  <c r="G104" i="57"/>
  <c r="J104" i="57" s="1"/>
  <c r="M104" i="57" s="1"/>
  <c r="F104" i="57"/>
  <c r="I104" i="57" s="1"/>
  <c r="L104" i="57" s="1"/>
  <c r="H104" i="57"/>
  <c r="K104" i="57" s="1"/>
  <c r="N104" i="57" s="1"/>
  <c r="H111" i="57"/>
  <c r="K111" i="57" s="1"/>
  <c r="N111" i="57" s="1"/>
  <c r="G111" i="57"/>
  <c r="J111" i="57" s="1"/>
  <c r="M111" i="57" s="1"/>
  <c r="F111" i="57"/>
  <c r="I111" i="57" s="1"/>
  <c r="L111" i="57" s="1"/>
  <c r="H122" i="57"/>
  <c r="K122" i="57" s="1"/>
  <c r="N122" i="57" s="1"/>
  <c r="G122" i="57"/>
  <c r="J122" i="57" s="1"/>
  <c r="M122" i="57" s="1"/>
  <c r="F122" i="57"/>
  <c r="I122" i="57" s="1"/>
  <c r="L122" i="57" s="1"/>
  <c r="H69" i="57"/>
  <c r="K69" i="57" s="1"/>
  <c r="N69" i="57" s="1"/>
  <c r="G69" i="57"/>
  <c r="J69" i="57" s="1"/>
  <c r="M69" i="57" s="1"/>
  <c r="F69" i="57"/>
  <c r="I69" i="57" s="1"/>
  <c r="L69" i="57" s="1"/>
  <c r="H55" i="57"/>
  <c r="K55" i="57" s="1"/>
  <c r="N55" i="57" s="1"/>
  <c r="G55" i="57"/>
  <c r="J55" i="57" s="1"/>
  <c r="M55" i="57" s="1"/>
  <c r="F55" i="57"/>
  <c r="I55" i="57" s="1"/>
  <c r="L55" i="57" s="1"/>
  <c r="G66" i="57"/>
  <c r="J66" i="57" s="1"/>
  <c r="M66" i="57" s="1"/>
  <c r="F66" i="57"/>
  <c r="I66" i="57" s="1"/>
  <c r="L66" i="57" s="1"/>
  <c r="H66" i="57"/>
  <c r="K66" i="57" s="1"/>
  <c r="N66" i="57" s="1"/>
  <c r="H75" i="57"/>
  <c r="K75" i="57" s="1"/>
  <c r="N75" i="57" s="1"/>
  <c r="G75" i="57"/>
  <c r="J75" i="57" s="1"/>
  <c r="M75" i="57" s="1"/>
  <c r="F75" i="57"/>
  <c r="I75" i="57" s="1"/>
  <c r="L75" i="57" s="1"/>
  <c r="H77" i="57"/>
  <c r="K77" i="57" s="1"/>
  <c r="N77" i="57" s="1"/>
  <c r="G77" i="57"/>
  <c r="J77" i="57" s="1"/>
  <c r="M77" i="57" s="1"/>
  <c r="F77" i="57"/>
  <c r="I77" i="57" s="1"/>
  <c r="L77" i="57" s="1"/>
  <c r="F157" i="57"/>
  <c r="E157" i="57"/>
  <c r="G157" i="57"/>
  <c r="G142" i="57"/>
  <c r="E142" i="57"/>
  <c r="F142" i="57"/>
  <c r="I85" i="57"/>
  <c r="I86" i="57" s="1"/>
  <c r="L48" i="57"/>
  <c r="L85" i="57" s="1"/>
  <c r="H103" i="57"/>
  <c r="K103" i="57" s="1"/>
  <c r="N103" i="57" s="1"/>
  <c r="G103" i="57"/>
  <c r="J103" i="57" s="1"/>
  <c r="M103" i="57" s="1"/>
  <c r="F103" i="57"/>
  <c r="I103" i="57" s="1"/>
  <c r="L103" i="57" s="1"/>
  <c r="G147" i="57"/>
  <c r="F147" i="57"/>
  <c r="E147" i="57"/>
  <c r="H97" i="57"/>
  <c r="K97" i="57" s="1"/>
  <c r="N97" i="57" s="1"/>
  <c r="G97" i="57"/>
  <c r="J97" i="57" s="1"/>
  <c r="M97" i="57" s="1"/>
  <c r="F97" i="57"/>
  <c r="I97" i="57" s="1"/>
  <c r="L97" i="57" s="1"/>
  <c r="H117" i="57"/>
  <c r="K117" i="57" s="1"/>
  <c r="N117" i="57" s="1"/>
  <c r="G117" i="57"/>
  <c r="J117" i="57" s="1"/>
  <c r="M117" i="57" s="1"/>
  <c r="F117" i="57"/>
  <c r="I117" i="57" s="1"/>
  <c r="L117" i="57" s="1"/>
  <c r="I127" i="57"/>
  <c r="I128" i="57" s="1"/>
  <c r="L96" i="57"/>
  <c r="L127" i="57" s="1"/>
  <c r="G100" i="57"/>
  <c r="J100" i="57" s="1"/>
  <c r="M100" i="57" s="1"/>
  <c r="F100" i="57"/>
  <c r="I100" i="57" s="1"/>
  <c r="L100" i="57" s="1"/>
  <c r="H100" i="57"/>
  <c r="K100" i="57" s="1"/>
  <c r="N100" i="57" s="1"/>
  <c r="H107" i="57"/>
  <c r="K107" i="57" s="1"/>
  <c r="N107" i="57" s="1"/>
  <c r="G107" i="57"/>
  <c r="J107" i="57" s="1"/>
  <c r="M107" i="57" s="1"/>
  <c r="F107" i="57"/>
  <c r="I107" i="57" s="1"/>
  <c r="L107" i="57" s="1"/>
  <c r="H118" i="57"/>
  <c r="K118" i="57" s="1"/>
  <c r="N118" i="57" s="1"/>
  <c r="G118" i="57"/>
  <c r="J118" i="57" s="1"/>
  <c r="M118" i="57" s="1"/>
  <c r="F118" i="57"/>
  <c r="I118" i="57" s="1"/>
  <c r="L118" i="57" s="1"/>
  <c r="H65" i="57"/>
  <c r="K65" i="57" s="1"/>
  <c r="N65" i="57" s="1"/>
  <c r="G65" i="57"/>
  <c r="J65" i="57" s="1"/>
  <c r="M65" i="57" s="1"/>
  <c r="F65" i="57"/>
  <c r="I65" i="57" s="1"/>
  <c r="L65" i="57" s="1"/>
  <c r="J85" i="57"/>
  <c r="J86" i="57" s="1"/>
  <c r="M54" i="57"/>
  <c r="M85" i="57" s="1"/>
  <c r="G62" i="57"/>
  <c r="J62" i="57" s="1"/>
  <c r="M62" i="57" s="1"/>
  <c r="F62" i="57"/>
  <c r="I62" i="57" s="1"/>
  <c r="L62" i="57" s="1"/>
  <c r="H62" i="57"/>
  <c r="K62" i="57" s="1"/>
  <c r="N62" i="57" s="1"/>
  <c r="H79" i="57"/>
  <c r="K79" i="57" s="1"/>
  <c r="N79" i="57" s="1"/>
  <c r="G79" i="57"/>
  <c r="J79" i="57" s="1"/>
  <c r="M79" i="57" s="1"/>
  <c r="F79" i="57"/>
  <c r="I79" i="57" s="1"/>
  <c r="L79" i="57" s="1"/>
  <c r="H81" i="57"/>
  <c r="K81" i="57" s="1"/>
  <c r="N81" i="57" s="1"/>
  <c r="G81" i="57"/>
  <c r="J81" i="57" s="1"/>
  <c r="M81" i="57" s="1"/>
  <c r="F81" i="57"/>
  <c r="I81" i="57" s="1"/>
  <c r="L81" i="57" s="1"/>
  <c r="F165" i="57"/>
  <c r="E165" i="57"/>
  <c r="G165" i="57"/>
  <c r="G150" i="57"/>
  <c r="F150" i="57"/>
  <c r="E150" i="57"/>
  <c r="G163" i="57"/>
  <c r="F163" i="57"/>
  <c r="E163" i="57"/>
  <c r="H142" i="57" l="1"/>
  <c r="I142" i="57" s="1"/>
  <c r="H151" i="57"/>
  <c r="I151" i="57" s="1"/>
  <c r="H155" i="57"/>
  <c r="I155" i="57" s="1"/>
  <c r="H85" i="57"/>
  <c r="K48" i="57"/>
  <c r="H147" i="57"/>
  <c r="I147" i="57" s="1"/>
  <c r="H152" i="57"/>
  <c r="I152" i="57" s="1"/>
  <c r="H144" i="57"/>
  <c r="I144" i="57" s="1"/>
  <c r="H150" i="57"/>
  <c r="I150" i="57" s="1"/>
  <c r="H159" i="57"/>
  <c r="I159" i="57" s="1"/>
  <c r="H148" i="57"/>
  <c r="I148" i="57" s="1"/>
  <c r="H154" i="57"/>
  <c r="I154" i="57" s="1"/>
  <c r="H164" i="57"/>
  <c r="I164" i="57" s="1"/>
  <c r="H146" i="57"/>
  <c r="I146" i="57" s="1"/>
  <c r="F168" i="57"/>
  <c r="E168" i="57"/>
  <c r="G168" i="57"/>
  <c r="H139" i="57"/>
  <c r="I139" i="57" s="1"/>
  <c r="H136" i="57"/>
  <c r="I136" i="57" s="1"/>
  <c r="H160" i="57"/>
  <c r="I160" i="57" s="1"/>
  <c r="H140" i="57"/>
  <c r="I140" i="57" s="1"/>
  <c r="H156" i="57"/>
  <c r="I156" i="57" s="1"/>
  <c r="F135" i="57"/>
  <c r="H153" i="57"/>
  <c r="I153" i="57" s="1"/>
  <c r="H167" i="57"/>
  <c r="I167" i="57" s="1"/>
  <c r="H138" i="57"/>
  <c r="I138" i="57" s="1"/>
  <c r="H141" i="57"/>
  <c r="I141" i="57" s="1"/>
  <c r="H162" i="57"/>
  <c r="I162" i="57" s="1"/>
  <c r="H166" i="57"/>
  <c r="I166" i="57" s="1"/>
  <c r="H158" i="57"/>
  <c r="I158" i="57" s="1"/>
  <c r="E135" i="57"/>
  <c r="G135" i="57"/>
  <c r="H143" i="57"/>
  <c r="I143" i="57" s="1"/>
  <c r="H157" i="57"/>
  <c r="I157" i="57" s="1"/>
  <c r="H163" i="57"/>
  <c r="I163" i="57" s="1"/>
  <c r="H165" i="57"/>
  <c r="I165" i="57" s="1"/>
  <c r="H149" i="57"/>
  <c r="I149" i="57" s="1"/>
  <c r="H137" i="57"/>
  <c r="I137" i="57" s="1"/>
  <c r="H145" i="57"/>
  <c r="I145" i="57" s="1"/>
  <c r="H161" i="57"/>
  <c r="I161" i="57" s="1"/>
  <c r="N48" i="57" l="1"/>
  <c r="N85" i="57" s="1"/>
  <c r="K85" i="57"/>
  <c r="K86" i="57" s="1"/>
  <c r="H168" i="57"/>
  <c r="I168" i="57" s="1"/>
  <c r="G169" i="57"/>
  <c r="F169" i="57"/>
  <c r="H135" i="57"/>
  <c r="E169" i="57"/>
  <c r="I135" i="57" l="1"/>
  <c r="I169" i="57" s="1"/>
  <c r="H169" i="57"/>
  <c r="D53" i="58" l="1"/>
  <c r="D54" i="58" s="1"/>
  <c r="D55" i="58" s="1"/>
  <c r="E96" i="59" l="1"/>
  <c r="E126" i="59" s="1"/>
  <c r="N95" i="59"/>
  <c r="M95" i="59"/>
  <c r="L95" i="59"/>
  <c r="N94" i="59"/>
  <c r="M94" i="59"/>
  <c r="L94" i="59"/>
  <c r="N93" i="59"/>
  <c r="M93" i="59"/>
  <c r="L93" i="59"/>
  <c r="N92" i="59"/>
  <c r="M92" i="59"/>
  <c r="L92" i="59"/>
  <c r="N91" i="59"/>
  <c r="M91" i="59"/>
  <c r="L91" i="59"/>
  <c r="N90" i="59"/>
  <c r="M90" i="59"/>
  <c r="L90" i="59"/>
  <c r="E78" i="59"/>
  <c r="E54" i="59"/>
  <c r="E66" i="59" s="1"/>
  <c r="H66" i="59" s="1"/>
  <c r="K66" i="59" s="1"/>
  <c r="N66" i="59" s="1"/>
  <c r="M53" i="59"/>
  <c r="M52" i="59"/>
  <c r="E52" i="59"/>
  <c r="G52" i="59" s="1"/>
  <c r="M51" i="59"/>
  <c r="M50" i="59"/>
  <c r="M49" i="59"/>
  <c r="M48" i="59"/>
  <c r="B15" i="59"/>
  <c r="B16" i="59" s="1"/>
  <c r="B17" i="59" s="1"/>
  <c r="B18" i="59" s="1"/>
  <c r="B19" i="59" s="1"/>
  <c r="C14" i="59"/>
  <c r="C15" i="59" s="1"/>
  <c r="C16" i="59" s="1"/>
  <c r="C17" i="59" s="1"/>
  <c r="C18" i="59" s="1"/>
  <c r="C19" i="59" s="1"/>
  <c r="C20" i="59" s="1"/>
  <c r="C21" i="59" s="1"/>
  <c r="C22" i="59" s="1"/>
  <c r="C23" i="59" s="1"/>
  <c r="C24" i="59" s="1"/>
  <c r="C25" i="59" s="1"/>
  <c r="C26" i="59" s="1"/>
  <c r="C27" i="59" s="1"/>
  <c r="C28" i="59" s="1"/>
  <c r="C29" i="59" s="1"/>
  <c r="C30" i="59" s="1"/>
  <c r="C31" i="59" s="1"/>
  <c r="C32" i="59" s="1"/>
  <c r="C33" i="59" s="1"/>
  <c r="C34" i="59" s="1"/>
  <c r="C35" i="59" s="1"/>
  <c r="C36" i="59" s="1"/>
  <c r="C37" i="59" s="1"/>
  <c r="C38" i="59" s="1"/>
  <c r="C39" i="59" s="1"/>
  <c r="C40" i="59" s="1"/>
  <c r="C41" i="59" s="1"/>
  <c r="C42" i="59" s="1"/>
  <c r="B14" i="59"/>
  <c r="G140" i="59"/>
  <c r="G138" i="59"/>
  <c r="F138" i="59"/>
  <c r="E138" i="59"/>
  <c r="D12" i="59"/>
  <c r="D13" i="59" s="1"/>
  <c r="D14" i="59" s="1"/>
  <c r="D15" i="59" s="1"/>
  <c r="D16" i="59" s="1"/>
  <c r="D17" i="59" s="1"/>
  <c r="D18" i="59" s="1"/>
  <c r="D19" i="59" s="1"/>
  <c r="D20" i="59" s="1"/>
  <c r="D21" i="59" s="1"/>
  <c r="D22" i="59" s="1"/>
  <c r="D23" i="59" s="1"/>
  <c r="D24" i="59" s="1"/>
  <c r="D25" i="59" s="1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D37" i="59" s="1"/>
  <c r="D38" i="59" s="1"/>
  <c r="D39" i="59" s="1"/>
  <c r="D40" i="59" s="1"/>
  <c r="D41" i="59" s="1"/>
  <c r="D42" i="59" s="1"/>
  <c r="B12" i="59"/>
  <c r="G137" i="59"/>
  <c r="F137" i="59"/>
  <c r="E137" i="59"/>
  <c r="B11" i="59"/>
  <c r="G136" i="59"/>
  <c r="F136" i="59"/>
  <c r="E136" i="59"/>
  <c r="G134" i="59"/>
  <c r="F134" i="59"/>
  <c r="E134" i="59"/>
  <c r="G133" i="59"/>
  <c r="F133" i="59"/>
  <c r="E133" i="59"/>
  <c r="G132" i="59"/>
  <c r="F132" i="59"/>
  <c r="E132" i="59"/>
  <c r="H133" i="59" l="1"/>
  <c r="I133" i="59" s="1"/>
  <c r="E118" i="59"/>
  <c r="G118" i="59" s="1"/>
  <c r="J118" i="59" s="1"/>
  <c r="M118" i="59" s="1"/>
  <c r="E57" i="59"/>
  <c r="E65" i="59"/>
  <c r="H65" i="59" s="1"/>
  <c r="K65" i="59" s="1"/>
  <c r="N65" i="59" s="1"/>
  <c r="B20" i="59"/>
  <c r="B21" i="59" s="1"/>
  <c r="B22" i="59" s="1"/>
  <c r="H57" i="59"/>
  <c r="K57" i="59" s="1"/>
  <c r="N57" i="59" s="1"/>
  <c r="F57" i="59"/>
  <c r="I57" i="59" s="1"/>
  <c r="L57" i="59" s="1"/>
  <c r="G57" i="59"/>
  <c r="J57" i="59" s="1"/>
  <c r="M57" i="59" s="1"/>
  <c r="G135" i="59"/>
  <c r="E140" i="59"/>
  <c r="F66" i="59"/>
  <c r="I66" i="59" s="1"/>
  <c r="L66" i="59" s="1"/>
  <c r="G66" i="59"/>
  <c r="J66" i="59" s="1"/>
  <c r="M66" i="59" s="1"/>
  <c r="G126" i="59"/>
  <c r="J126" i="59" s="1"/>
  <c r="M126" i="59" s="1"/>
  <c r="F126" i="59"/>
  <c r="I126" i="59" s="1"/>
  <c r="L126" i="59" s="1"/>
  <c r="H126" i="59"/>
  <c r="K126" i="59" s="1"/>
  <c r="N126" i="59" s="1"/>
  <c r="F65" i="59"/>
  <c r="I65" i="59" s="1"/>
  <c r="L65" i="59" s="1"/>
  <c r="G65" i="59"/>
  <c r="J65" i="59" s="1"/>
  <c r="M65" i="59" s="1"/>
  <c r="B10" i="59"/>
  <c r="F140" i="59"/>
  <c r="G78" i="59"/>
  <c r="J78" i="59" s="1"/>
  <c r="M78" i="59" s="1"/>
  <c r="F78" i="59"/>
  <c r="I78" i="59" s="1"/>
  <c r="L78" i="59" s="1"/>
  <c r="H78" i="59"/>
  <c r="K78" i="59" s="1"/>
  <c r="N78" i="59" s="1"/>
  <c r="E123" i="59"/>
  <c r="E119" i="59"/>
  <c r="E115" i="59"/>
  <c r="E111" i="59"/>
  <c r="E107" i="59"/>
  <c r="E103" i="59"/>
  <c r="E99" i="59"/>
  <c r="E90" i="59"/>
  <c r="E91" i="59"/>
  <c r="H96" i="59"/>
  <c r="K96" i="59" s="1"/>
  <c r="E93" i="59"/>
  <c r="E125" i="59"/>
  <c r="E121" i="59"/>
  <c r="E117" i="59"/>
  <c r="E113" i="59"/>
  <c r="E109" i="59"/>
  <c r="E105" i="59"/>
  <c r="E101" i="59"/>
  <c r="E97" i="59"/>
  <c r="G96" i="59"/>
  <c r="J96" i="59" s="1"/>
  <c r="E94" i="59"/>
  <c r="F96" i="59"/>
  <c r="I96" i="59" s="1"/>
  <c r="E95" i="59"/>
  <c r="E124" i="59"/>
  <c r="E122" i="59"/>
  <c r="E100" i="59"/>
  <c r="E98" i="59"/>
  <c r="E92" i="59"/>
  <c r="E108" i="59"/>
  <c r="E106" i="59"/>
  <c r="E112" i="59"/>
  <c r="E110" i="59"/>
  <c r="E104" i="59"/>
  <c r="E116" i="59"/>
  <c r="E120" i="59"/>
  <c r="E114" i="59"/>
  <c r="E102" i="59"/>
  <c r="H52" i="59"/>
  <c r="K52" i="59" s="1"/>
  <c r="N52" i="59" s="1"/>
  <c r="F52" i="59"/>
  <c r="I52" i="59" s="1"/>
  <c r="L52" i="59" s="1"/>
  <c r="G54" i="59"/>
  <c r="J54" i="59" s="1"/>
  <c r="E59" i="59"/>
  <c r="E67" i="59"/>
  <c r="E49" i="59"/>
  <c r="E70" i="59"/>
  <c r="E48" i="59"/>
  <c r="H54" i="59"/>
  <c r="K54" i="59" s="1"/>
  <c r="N54" i="59" s="1"/>
  <c r="E62" i="59"/>
  <c r="E61" i="59"/>
  <c r="E69" i="59"/>
  <c r="E80" i="59"/>
  <c r="H132" i="59"/>
  <c r="I132" i="59" s="1"/>
  <c r="H134" i="59"/>
  <c r="I134" i="59" s="1"/>
  <c r="E135" i="59"/>
  <c r="H136" i="59"/>
  <c r="I136" i="59" s="1"/>
  <c r="H137" i="59"/>
  <c r="I137" i="59" s="1"/>
  <c r="E58" i="59"/>
  <c r="E83" i="59"/>
  <c r="E79" i="59"/>
  <c r="E75" i="59"/>
  <c r="E81" i="59"/>
  <c r="E77" i="59"/>
  <c r="E73" i="59"/>
  <c r="F54" i="59"/>
  <c r="I54" i="59" s="1"/>
  <c r="L54" i="59" s="1"/>
  <c r="E76" i="59"/>
  <c r="E74" i="59"/>
  <c r="E53" i="59"/>
  <c r="E84" i="59"/>
  <c r="E82" i="59"/>
  <c r="E51" i="59"/>
  <c r="E72" i="59"/>
  <c r="E68" i="59"/>
  <c r="E64" i="59"/>
  <c r="E60" i="59"/>
  <c r="E56" i="59"/>
  <c r="E50" i="59"/>
  <c r="F135" i="59"/>
  <c r="H138" i="59"/>
  <c r="I138" i="59" s="1"/>
  <c r="E55" i="59"/>
  <c r="E63" i="59"/>
  <c r="E71" i="59"/>
  <c r="H118" i="59" l="1"/>
  <c r="K118" i="59" s="1"/>
  <c r="N118" i="59" s="1"/>
  <c r="F118" i="59"/>
  <c r="I118" i="59" s="1"/>
  <c r="L118" i="59" s="1"/>
  <c r="G142" i="59"/>
  <c r="F142" i="59"/>
  <c r="E142" i="59"/>
  <c r="H63" i="59"/>
  <c r="K63" i="59" s="1"/>
  <c r="N63" i="59" s="1"/>
  <c r="G63" i="59"/>
  <c r="J63" i="59" s="1"/>
  <c r="M63" i="59" s="1"/>
  <c r="F63" i="59"/>
  <c r="I63" i="59" s="1"/>
  <c r="L63" i="59" s="1"/>
  <c r="H75" i="59"/>
  <c r="K75" i="59" s="1"/>
  <c r="N75" i="59" s="1"/>
  <c r="G75" i="59"/>
  <c r="J75" i="59" s="1"/>
  <c r="M75" i="59" s="1"/>
  <c r="F75" i="59"/>
  <c r="I75" i="59" s="1"/>
  <c r="L75" i="59" s="1"/>
  <c r="H55" i="59"/>
  <c r="K55" i="59" s="1"/>
  <c r="N55" i="59" s="1"/>
  <c r="G55" i="59"/>
  <c r="J55" i="59" s="1"/>
  <c r="M55" i="59" s="1"/>
  <c r="F55" i="59"/>
  <c r="I55" i="59" s="1"/>
  <c r="L55" i="59" s="1"/>
  <c r="H56" i="59"/>
  <c r="K56" i="59" s="1"/>
  <c r="N56" i="59" s="1"/>
  <c r="F56" i="59"/>
  <c r="I56" i="59" s="1"/>
  <c r="L56" i="59" s="1"/>
  <c r="G56" i="59"/>
  <c r="J56" i="59" s="1"/>
  <c r="M56" i="59" s="1"/>
  <c r="G53" i="59"/>
  <c r="H53" i="59"/>
  <c r="K53" i="59" s="1"/>
  <c r="N53" i="59" s="1"/>
  <c r="F53" i="59"/>
  <c r="I53" i="59" s="1"/>
  <c r="L53" i="59" s="1"/>
  <c r="H79" i="59"/>
  <c r="K79" i="59" s="1"/>
  <c r="N79" i="59" s="1"/>
  <c r="G79" i="59"/>
  <c r="J79" i="59" s="1"/>
  <c r="M79" i="59" s="1"/>
  <c r="F79" i="59"/>
  <c r="I79" i="59" s="1"/>
  <c r="L79" i="59" s="1"/>
  <c r="H135" i="59"/>
  <c r="G144" i="59"/>
  <c r="F144" i="59"/>
  <c r="E144" i="59"/>
  <c r="H120" i="59"/>
  <c r="K120" i="59" s="1"/>
  <c r="N120" i="59" s="1"/>
  <c r="G120" i="59"/>
  <c r="J120" i="59" s="1"/>
  <c r="M120" i="59" s="1"/>
  <c r="F120" i="59"/>
  <c r="I120" i="59" s="1"/>
  <c r="L120" i="59" s="1"/>
  <c r="G98" i="59"/>
  <c r="J98" i="59" s="1"/>
  <c r="M98" i="59" s="1"/>
  <c r="F98" i="59"/>
  <c r="I98" i="59" s="1"/>
  <c r="L98" i="59" s="1"/>
  <c r="H98" i="59"/>
  <c r="K98" i="59" s="1"/>
  <c r="N98" i="59" s="1"/>
  <c r="H97" i="59"/>
  <c r="K97" i="59" s="1"/>
  <c r="N97" i="59" s="1"/>
  <c r="F97" i="59"/>
  <c r="I97" i="59" s="1"/>
  <c r="L97" i="59" s="1"/>
  <c r="G97" i="59"/>
  <c r="J97" i="59" s="1"/>
  <c r="M97" i="59" s="1"/>
  <c r="H93" i="59"/>
  <c r="G93" i="59"/>
  <c r="F93" i="59"/>
  <c r="H115" i="59"/>
  <c r="K115" i="59" s="1"/>
  <c r="N115" i="59" s="1"/>
  <c r="F115" i="59"/>
  <c r="I115" i="59" s="1"/>
  <c r="L115" i="59" s="1"/>
  <c r="G115" i="59"/>
  <c r="J115" i="59" s="1"/>
  <c r="M115" i="59" s="1"/>
  <c r="B9" i="59"/>
  <c r="H48" i="59"/>
  <c r="G48" i="59"/>
  <c r="G85" i="59" s="1"/>
  <c r="F48" i="59"/>
  <c r="G82" i="59"/>
  <c r="J82" i="59" s="1"/>
  <c r="M82" i="59" s="1"/>
  <c r="F82" i="59"/>
  <c r="I82" i="59" s="1"/>
  <c r="L82" i="59" s="1"/>
  <c r="H82" i="59"/>
  <c r="K82" i="59" s="1"/>
  <c r="N82" i="59" s="1"/>
  <c r="H107" i="59"/>
  <c r="K107" i="59" s="1"/>
  <c r="N107" i="59" s="1"/>
  <c r="F107" i="59"/>
  <c r="I107" i="59" s="1"/>
  <c r="L107" i="59" s="1"/>
  <c r="G107" i="59"/>
  <c r="J107" i="59" s="1"/>
  <c r="M107" i="59" s="1"/>
  <c r="H84" i="59"/>
  <c r="K84" i="59" s="1"/>
  <c r="N84" i="59" s="1"/>
  <c r="G84" i="59"/>
  <c r="J84" i="59" s="1"/>
  <c r="M84" i="59" s="1"/>
  <c r="F84" i="59"/>
  <c r="I84" i="59" s="1"/>
  <c r="L84" i="59" s="1"/>
  <c r="J127" i="59"/>
  <c r="M96" i="59"/>
  <c r="M127" i="59" s="1"/>
  <c r="H111" i="59"/>
  <c r="K111" i="59" s="1"/>
  <c r="N111" i="59" s="1"/>
  <c r="G111" i="59"/>
  <c r="J111" i="59" s="1"/>
  <c r="M111" i="59" s="1"/>
  <c r="F111" i="59"/>
  <c r="I111" i="59" s="1"/>
  <c r="L111" i="59" s="1"/>
  <c r="H60" i="59"/>
  <c r="K60" i="59" s="1"/>
  <c r="N60" i="59" s="1"/>
  <c r="F60" i="59"/>
  <c r="I60" i="59" s="1"/>
  <c r="L60" i="59" s="1"/>
  <c r="G60" i="59"/>
  <c r="J60" i="59" s="1"/>
  <c r="M60" i="59" s="1"/>
  <c r="G74" i="59"/>
  <c r="J74" i="59" s="1"/>
  <c r="M74" i="59" s="1"/>
  <c r="F74" i="59"/>
  <c r="I74" i="59" s="1"/>
  <c r="L74" i="59" s="1"/>
  <c r="H74" i="59"/>
  <c r="K74" i="59" s="1"/>
  <c r="N74" i="59" s="1"/>
  <c r="H83" i="59"/>
  <c r="K83" i="59" s="1"/>
  <c r="N83" i="59" s="1"/>
  <c r="F83" i="59"/>
  <c r="I83" i="59" s="1"/>
  <c r="L83" i="59" s="1"/>
  <c r="G83" i="59"/>
  <c r="J83" i="59" s="1"/>
  <c r="M83" i="59" s="1"/>
  <c r="F141" i="59"/>
  <c r="E141" i="59"/>
  <c r="G141" i="59"/>
  <c r="G147" i="59"/>
  <c r="F147" i="59"/>
  <c r="E147" i="59"/>
  <c r="H116" i="59"/>
  <c r="K116" i="59" s="1"/>
  <c r="N116" i="59" s="1"/>
  <c r="G116" i="59"/>
  <c r="J116" i="59" s="1"/>
  <c r="M116" i="59" s="1"/>
  <c r="F116" i="59"/>
  <c r="I116" i="59" s="1"/>
  <c r="L116" i="59" s="1"/>
  <c r="H100" i="59"/>
  <c r="K100" i="59" s="1"/>
  <c r="N100" i="59" s="1"/>
  <c r="G100" i="59"/>
  <c r="J100" i="59" s="1"/>
  <c r="M100" i="59" s="1"/>
  <c r="F100" i="59"/>
  <c r="I100" i="59" s="1"/>
  <c r="L100" i="59" s="1"/>
  <c r="H101" i="59"/>
  <c r="K101" i="59" s="1"/>
  <c r="N101" i="59" s="1"/>
  <c r="F101" i="59"/>
  <c r="I101" i="59" s="1"/>
  <c r="L101" i="59" s="1"/>
  <c r="G101" i="59"/>
  <c r="J101" i="59" s="1"/>
  <c r="M101" i="59" s="1"/>
  <c r="K127" i="59"/>
  <c r="N96" i="59"/>
  <c r="N127" i="59" s="1"/>
  <c r="H119" i="59"/>
  <c r="K119" i="59" s="1"/>
  <c r="N119" i="59" s="1"/>
  <c r="G119" i="59"/>
  <c r="J119" i="59" s="1"/>
  <c r="M119" i="59" s="1"/>
  <c r="F119" i="59"/>
  <c r="I119" i="59" s="1"/>
  <c r="L119" i="59" s="1"/>
  <c r="H140" i="59"/>
  <c r="I140" i="59" s="1"/>
  <c r="H67" i="59"/>
  <c r="K67" i="59" s="1"/>
  <c r="N67" i="59" s="1"/>
  <c r="G67" i="59"/>
  <c r="J67" i="59" s="1"/>
  <c r="M67" i="59" s="1"/>
  <c r="F67" i="59"/>
  <c r="I67" i="59" s="1"/>
  <c r="L67" i="59" s="1"/>
  <c r="H81" i="59"/>
  <c r="K81" i="59" s="1"/>
  <c r="N81" i="59" s="1"/>
  <c r="F81" i="59"/>
  <c r="I81" i="59" s="1"/>
  <c r="L81" i="59" s="1"/>
  <c r="G81" i="59"/>
  <c r="J81" i="59" s="1"/>
  <c r="M81" i="59" s="1"/>
  <c r="G102" i="59"/>
  <c r="J102" i="59" s="1"/>
  <c r="M102" i="59" s="1"/>
  <c r="F102" i="59"/>
  <c r="I102" i="59" s="1"/>
  <c r="L102" i="59" s="1"/>
  <c r="H102" i="59"/>
  <c r="K102" i="59" s="1"/>
  <c r="N102" i="59" s="1"/>
  <c r="H94" i="59"/>
  <c r="F94" i="59"/>
  <c r="G94" i="59"/>
  <c r="H50" i="59"/>
  <c r="K50" i="59" s="1"/>
  <c r="N50" i="59" s="1"/>
  <c r="F50" i="59"/>
  <c r="I50" i="59" s="1"/>
  <c r="L50" i="59" s="1"/>
  <c r="G50" i="59"/>
  <c r="H64" i="59"/>
  <c r="K64" i="59" s="1"/>
  <c r="N64" i="59" s="1"/>
  <c r="F64" i="59"/>
  <c r="I64" i="59" s="1"/>
  <c r="L64" i="59" s="1"/>
  <c r="G64" i="59"/>
  <c r="J64" i="59" s="1"/>
  <c r="M64" i="59" s="1"/>
  <c r="H76" i="59"/>
  <c r="K76" i="59" s="1"/>
  <c r="N76" i="59" s="1"/>
  <c r="G76" i="59"/>
  <c r="J76" i="59" s="1"/>
  <c r="M76" i="59" s="1"/>
  <c r="F76" i="59"/>
  <c r="I76" i="59" s="1"/>
  <c r="L76" i="59" s="1"/>
  <c r="F58" i="59"/>
  <c r="I58" i="59" s="1"/>
  <c r="L58" i="59" s="1"/>
  <c r="G58" i="59"/>
  <c r="J58" i="59" s="1"/>
  <c r="M58" i="59" s="1"/>
  <c r="H58" i="59"/>
  <c r="K58" i="59" s="1"/>
  <c r="N58" i="59" s="1"/>
  <c r="F70" i="59"/>
  <c r="I70" i="59" s="1"/>
  <c r="L70" i="59" s="1"/>
  <c r="H70" i="59"/>
  <c r="K70" i="59" s="1"/>
  <c r="N70" i="59" s="1"/>
  <c r="G70" i="59"/>
  <c r="J70" i="59" s="1"/>
  <c r="M70" i="59" s="1"/>
  <c r="H104" i="59"/>
  <c r="K104" i="59" s="1"/>
  <c r="N104" i="59" s="1"/>
  <c r="G104" i="59"/>
  <c r="J104" i="59" s="1"/>
  <c r="M104" i="59" s="1"/>
  <c r="F104" i="59"/>
  <c r="I104" i="59" s="1"/>
  <c r="L104" i="59" s="1"/>
  <c r="G122" i="59"/>
  <c r="J122" i="59" s="1"/>
  <c r="M122" i="59" s="1"/>
  <c r="F122" i="59"/>
  <c r="I122" i="59" s="1"/>
  <c r="L122" i="59" s="1"/>
  <c r="H122" i="59"/>
  <c r="K122" i="59" s="1"/>
  <c r="N122" i="59" s="1"/>
  <c r="H105" i="59"/>
  <c r="K105" i="59" s="1"/>
  <c r="N105" i="59" s="1"/>
  <c r="F105" i="59"/>
  <c r="I105" i="59" s="1"/>
  <c r="L105" i="59" s="1"/>
  <c r="G105" i="59"/>
  <c r="J105" i="59" s="1"/>
  <c r="M105" i="59" s="1"/>
  <c r="F91" i="59"/>
  <c r="H91" i="59"/>
  <c r="G91" i="59"/>
  <c r="H123" i="59"/>
  <c r="K123" i="59" s="1"/>
  <c r="N123" i="59" s="1"/>
  <c r="F123" i="59"/>
  <c r="I123" i="59" s="1"/>
  <c r="L123" i="59" s="1"/>
  <c r="G123" i="59"/>
  <c r="J123" i="59" s="1"/>
  <c r="M123" i="59" s="1"/>
  <c r="G145" i="59"/>
  <c r="F145" i="59"/>
  <c r="E145" i="59"/>
  <c r="H77" i="59"/>
  <c r="K77" i="59" s="1"/>
  <c r="N77" i="59" s="1"/>
  <c r="F77" i="59"/>
  <c r="I77" i="59" s="1"/>
  <c r="L77" i="59" s="1"/>
  <c r="G77" i="59"/>
  <c r="J77" i="59" s="1"/>
  <c r="M77" i="59" s="1"/>
  <c r="G143" i="59"/>
  <c r="E143" i="59"/>
  <c r="F143" i="59"/>
  <c r="H68" i="59"/>
  <c r="K68" i="59" s="1"/>
  <c r="N68" i="59" s="1"/>
  <c r="F68" i="59"/>
  <c r="I68" i="59" s="1"/>
  <c r="L68" i="59" s="1"/>
  <c r="G68" i="59"/>
  <c r="J68" i="59" s="1"/>
  <c r="M68" i="59" s="1"/>
  <c r="E146" i="59"/>
  <c r="F146" i="59"/>
  <c r="G146" i="59"/>
  <c r="H80" i="59"/>
  <c r="K80" i="59" s="1"/>
  <c r="N80" i="59" s="1"/>
  <c r="G80" i="59"/>
  <c r="J80" i="59" s="1"/>
  <c r="M80" i="59" s="1"/>
  <c r="F80" i="59"/>
  <c r="I80" i="59" s="1"/>
  <c r="L80" i="59" s="1"/>
  <c r="F62" i="59"/>
  <c r="I62" i="59" s="1"/>
  <c r="L62" i="59" s="1"/>
  <c r="H62" i="59"/>
  <c r="K62" i="59" s="1"/>
  <c r="N62" i="59" s="1"/>
  <c r="G62" i="59"/>
  <c r="J62" i="59" s="1"/>
  <c r="M62" i="59" s="1"/>
  <c r="G49" i="59"/>
  <c r="F49" i="59"/>
  <c r="I49" i="59" s="1"/>
  <c r="L49" i="59" s="1"/>
  <c r="H49" i="59"/>
  <c r="K49" i="59" s="1"/>
  <c r="N49" i="59" s="1"/>
  <c r="G110" i="59"/>
  <c r="J110" i="59" s="1"/>
  <c r="M110" i="59" s="1"/>
  <c r="F110" i="59"/>
  <c r="I110" i="59" s="1"/>
  <c r="L110" i="59" s="1"/>
  <c r="H110" i="59"/>
  <c r="K110" i="59" s="1"/>
  <c r="N110" i="59" s="1"/>
  <c r="H124" i="59"/>
  <c r="K124" i="59" s="1"/>
  <c r="N124" i="59" s="1"/>
  <c r="G124" i="59"/>
  <c r="J124" i="59" s="1"/>
  <c r="M124" i="59" s="1"/>
  <c r="F124" i="59"/>
  <c r="I124" i="59" s="1"/>
  <c r="L124" i="59" s="1"/>
  <c r="H109" i="59"/>
  <c r="K109" i="59" s="1"/>
  <c r="N109" i="59" s="1"/>
  <c r="F109" i="59"/>
  <c r="I109" i="59" s="1"/>
  <c r="L109" i="59" s="1"/>
  <c r="G109" i="59"/>
  <c r="J109" i="59" s="1"/>
  <c r="M109" i="59" s="1"/>
  <c r="H90" i="59"/>
  <c r="H127" i="59" s="1"/>
  <c r="K128" i="59" s="1"/>
  <c r="F90" i="59"/>
  <c r="F127" i="59" s="1"/>
  <c r="G90" i="59"/>
  <c r="G127" i="59" s="1"/>
  <c r="J128" i="59" s="1"/>
  <c r="B23" i="59"/>
  <c r="H61" i="59"/>
  <c r="K61" i="59" s="1"/>
  <c r="N61" i="59" s="1"/>
  <c r="F61" i="59"/>
  <c r="I61" i="59" s="1"/>
  <c r="L61" i="59" s="1"/>
  <c r="G61" i="59"/>
  <c r="J61" i="59" s="1"/>
  <c r="M61" i="59" s="1"/>
  <c r="H121" i="59"/>
  <c r="K121" i="59" s="1"/>
  <c r="N121" i="59" s="1"/>
  <c r="F121" i="59"/>
  <c r="I121" i="59" s="1"/>
  <c r="L121" i="59" s="1"/>
  <c r="G121" i="59"/>
  <c r="J121" i="59" s="1"/>
  <c r="M121" i="59" s="1"/>
  <c r="J85" i="59"/>
  <c r="M54" i="59"/>
  <c r="M85" i="59" s="1"/>
  <c r="G114" i="59"/>
  <c r="J114" i="59" s="1"/>
  <c r="M114" i="59" s="1"/>
  <c r="F114" i="59"/>
  <c r="I114" i="59" s="1"/>
  <c r="L114" i="59" s="1"/>
  <c r="H114" i="59"/>
  <c r="K114" i="59" s="1"/>
  <c r="N114" i="59" s="1"/>
  <c r="G92" i="59"/>
  <c r="F92" i="59"/>
  <c r="H92" i="59"/>
  <c r="H125" i="59"/>
  <c r="K125" i="59" s="1"/>
  <c r="N125" i="59" s="1"/>
  <c r="F125" i="59"/>
  <c r="I125" i="59" s="1"/>
  <c r="L125" i="59" s="1"/>
  <c r="G125" i="59"/>
  <c r="J125" i="59" s="1"/>
  <c r="M125" i="59" s="1"/>
  <c r="H72" i="59"/>
  <c r="K72" i="59" s="1"/>
  <c r="N72" i="59" s="1"/>
  <c r="F72" i="59"/>
  <c r="I72" i="59" s="1"/>
  <c r="L72" i="59" s="1"/>
  <c r="G72" i="59"/>
  <c r="J72" i="59" s="1"/>
  <c r="M72" i="59" s="1"/>
  <c r="H73" i="59"/>
  <c r="K73" i="59" s="1"/>
  <c r="N73" i="59" s="1"/>
  <c r="F73" i="59"/>
  <c r="I73" i="59" s="1"/>
  <c r="L73" i="59" s="1"/>
  <c r="G73" i="59"/>
  <c r="J73" i="59" s="1"/>
  <c r="M73" i="59" s="1"/>
  <c r="H69" i="59"/>
  <c r="K69" i="59" s="1"/>
  <c r="N69" i="59" s="1"/>
  <c r="F69" i="59"/>
  <c r="I69" i="59" s="1"/>
  <c r="L69" i="59" s="1"/>
  <c r="G69" i="59"/>
  <c r="J69" i="59" s="1"/>
  <c r="M69" i="59" s="1"/>
  <c r="H112" i="59"/>
  <c r="K112" i="59" s="1"/>
  <c r="N112" i="59" s="1"/>
  <c r="G112" i="59"/>
  <c r="J112" i="59" s="1"/>
  <c r="M112" i="59" s="1"/>
  <c r="F112" i="59"/>
  <c r="I112" i="59" s="1"/>
  <c r="L112" i="59" s="1"/>
  <c r="G95" i="59"/>
  <c r="F95" i="59"/>
  <c r="H95" i="59"/>
  <c r="H113" i="59"/>
  <c r="K113" i="59" s="1"/>
  <c r="N113" i="59" s="1"/>
  <c r="F113" i="59"/>
  <c r="I113" i="59" s="1"/>
  <c r="L113" i="59" s="1"/>
  <c r="G113" i="59"/>
  <c r="J113" i="59" s="1"/>
  <c r="M113" i="59" s="1"/>
  <c r="H99" i="59"/>
  <c r="K99" i="59" s="1"/>
  <c r="N99" i="59" s="1"/>
  <c r="G99" i="59"/>
  <c r="J99" i="59" s="1"/>
  <c r="M99" i="59" s="1"/>
  <c r="F99" i="59"/>
  <c r="I99" i="59" s="1"/>
  <c r="L99" i="59" s="1"/>
  <c r="G51" i="59"/>
  <c r="H51" i="59"/>
  <c r="K51" i="59" s="1"/>
  <c r="N51" i="59" s="1"/>
  <c r="F51" i="59"/>
  <c r="I51" i="59" s="1"/>
  <c r="L51" i="59" s="1"/>
  <c r="G106" i="59"/>
  <c r="J106" i="59" s="1"/>
  <c r="M106" i="59" s="1"/>
  <c r="F106" i="59"/>
  <c r="I106" i="59" s="1"/>
  <c r="L106" i="59" s="1"/>
  <c r="H106" i="59"/>
  <c r="K106" i="59" s="1"/>
  <c r="N106" i="59" s="1"/>
  <c r="I127" i="59"/>
  <c r="L96" i="59"/>
  <c r="L127" i="59" s="1"/>
  <c r="H117" i="59"/>
  <c r="K117" i="59" s="1"/>
  <c r="N117" i="59" s="1"/>
  <c r="F117" i="59"/>
  <c r="I117" i="59" s="1"/>
  <c r="L117" i="59" s="1"/>
  <c r="G117" i="59"/>
  <c r="J117" i="59" s="1"/>
  <c r="M117" i="59" s="1"/>
  <c r="H103" i="59"/>
  <c r="K103" i="59" s="1"/>
  <c r="N103" i="59" s="1"/>
  <c r="G103" i="59"/>
  <c r="J103" i="59" s="1"/>
  <c r="M103" i="59" s="1"/>
  <c r="F103" i="59"/>
  <c r="I103" i="59" s="1"/>
  <c r="L103" i="59" s="1"/>
  <c r="H71" i="59"/>
  <c r="K71" i="59" s="1"/>
  <c r="N71" i="59" s="1"/>
  <c r="G71" i="59"/>
  <c r="J71" i="59" s="1"/>
  <c r="M71" i="59" s="1"/>
  <c r="F71" i="59"/>
  <c r="I71" i="59" s="1"/>
  <c r="L71" i="59" s="1"/>
  <c r="H59" i="59"/>
  <c r="K59" i="59" s="1"/>
  <c r="N59" i="59" s="1"/>
  <c r="G59" i="59"/>
  <c r="J59" i="59" s="1"/>
  <c r="M59" i="59" s="1"/>
  <c r="F59" i="59"/>
  <c r="I59" i="59" s="1"/>
  <c r="L59" i="59" s="1"/>
  <c r="H108" i="59"/>
  <c r="K108" i="59" s="1"/>
  <c r="N108" i="59" s="1"/>
  <c r="G108" i="59"/>
  <c r="J108" i="59" s="1"/>
  <c r="M108" i="59" s="1"/>
  <c r="F108" i="59"/>
  <c r="I108" i="59" s="1"/>
  <c r="L108" i="59" s="1"/>
  <c r="I128" i="59" l="1"/>
  <c r="H141" i="59"/>
  <c r="I141" i="59" s="1"/>
  <c r="H143" i="59"/>
  <c r="I143" i="59" s="1"/>
  <c r="H144" i="59"/>
  <c r="I144" i="59" s="1"/>
  <c r="G139" i="59"/>
  <c r="B24" i="59"/>
  <c r="F85" i="59"/>
  <c r="I48" i="59"/>
  <c r="F148" i="59"/>
  <c r="E148" i="59"/>
  <c r="I135" i="59"/>
  <c r="H146" i="59"/>
  <c r="I146" i="59" s="1"/>
  <c r="F139" i="59"/>
  <c r="H147" i="59"/>
  <c r="I147" i="59" s="1"/>
  <c r="J86" i="59"/>
  <c r="H85" i="59"/>
  <c r="K48" i="59"/>
  <c r="H145" i="59"/>
  <c r="I145" i="59" s="1"/>
  <c r="B8" i="59"/>
  <c r="H142" i="59"/>
  <c r="I142" i="59" s="1"/>
  <c r="E139" i="59"/>
  <c r="B73" i="50" l="1"/>
  <c r="C70" i="50"/>
  <c r="B70" i="50"/>
  <c r="I85" i="59"/>
  <c r="I86" i="59" s="1"/>
  <c r="L48" i="59"/>
  <c r="L85" i="59" s="1"/>
  <c r="H139" i="59"/>
  <c r="B7" i="59"/>
  <c r="G149" i="59"/>
  <c r="K85" i="59"/>
  <c r="N48" i="59"/>
  <c r="N85" i="59" s="1"/>
  <c r="B25" i="59"/>
  <c r="K86" i="59"/>
  <c r="C73" i="50"/>
  <c r="G150" i="59" l="1"/>
  <c r="F150" i="59"/>
  <c r="E150" i="59"/>
  <c r="B26" i="59"/>
  <c r="B6" i="59"/>
  <c r="G148" i="59"/>
  <c r="I139" i="59"/>
  <c r="C28" i="50"/>
  <c r="B28" i="50" l="1"/>
  <c r="H150" i="59"/>
  <c r="I150" i="59" s="1"/>
  <c r="F149" i="59"/>
  <c r="F151" i="59"/>
  <c r="E151" i="59"/>
  <c r="G151" i="59"/>
  <c r="B27" i="59"/>
  <c r="E149" i="59"/>
  <c r="H148" i="59"/>
  <c r="C25" i="50" l="1"/>
  <c r="B25" i="50"/>
  <c r="B28" i="59"/>
  <c r="H151" i="59"/>
  <c r="I151" i="59" s="1"/>
  <c r="I148" i="59"/>
  <c r="H149" i="59"/>
  <c r="I149" i="59" s="1"/>
  <c r="G152" i="59"/>
  <c r="B29" i="59" l="1"/>
  <c r="E152" i="59"/>
  <c r="G153" i="59"/>
  <c r="F153" i="59"/>
  <c r="E153" i="59"/>
  <c r="H153" i="59" s="1"/>
  <c r="I153" i="59" s="1"/>
  <c r="G154" i="59" l="1"/>
  <c r="F154" i="59"/>
  <c r="E154" i="59"/>
  <c r="F152" i="59"/>
  <c r="B30" i="59"/>
  <c r="H152" i="59"/>
  <c r="I152" i="59" l="1"/>
  <c r="B31" i="59"/>
  <c r="F155" i="59"/>
  <c r="E155" i="59"/>
  <c r="G155" i="59"/>
  <c r="H154" i="59"/>
  <c r="I154" i="59" s="1"/>
  <c r="H155" i="59" l="1"/>
  <c r="I155" i="59" s="1"/>
  <c r="E156" i="59"/>
  <c r="G156" i="59"/>
  <c r="F156" i="59"/>
  <c r="B32" i="59"/>
  <c r="F157" i="59" l="1"/>
  <c r="G157" i="59"/>
  <c r="E157" i="59"/>
  <c r="B33" i="59"/>
  <c r="H156" i="59"/>
  <c r="I156" i="59" s="1"/>
  <c r="G158" i="59" l="1"/>
  <c r="F158" i="59"/>
  <c r="E158" i="59"/>
  <c r="B34" i="59"/>
  <c r="H157" i="59"/>
  <c r="I157" i="59" s="1"/>
  <c r="F159" i="59" l="1"/>
  <c r="E159" i="59"/>
  <c r="G159" i="59"/>
  <c r="B35" i="59"/>
  <c r="H158" i="59"/>
  <c r="I158" i="59" s="1"/>
  <c r="H159" i="59" l="1"/>
  <c r="I159" i="59" s="1"/>
  <c r="G160" i="59"/>
  <c r="E160" i="59"/>
  <c r="F160" i="59"/>
  <c r="B36" i="59"/>
  <c r="G161" i="59" l="1"/>
  <c r="F161" i="59"/>
  <c r="E161" i="59"/>
  <c r="B37" i="59"/>
  <c r="H160" i="59"/>
  <c r="I160" i="59" s="1"/>
  <c r="H161" i="59" l="1"/>
  <c r="I161" i="59" s="1"/>
  <c r="G162" i="59"/>
  <c r="E162" i="59"/>
  <c r="F162" i="59"/>
  <c r="B38" i="59"/>
  <c r="F163" i="59" l="1"/>
  <c r="E163" i="59"/>
  <c r="G163" i="59"/>
  <c r="B39" i="59"/>
  <c r="H162" i="59"/>
  <c r="I162" i="59" s="1"/>
  <c r="E164" i="59" l="1"/>
  <c r="G164" i="59"/>
  <c r="F164" i="59"/>
  <c r="B40" i="59"/>
  <c r="H163" i="59"/>
  <c r="I163" i="59" s="1"/>
  <c r="F165" i="59" l="1"/>
  <c r="G165" i="59"/>
  <c r="E165" i="59"/>
  <c r="B41" i="59"/>
  <c r="H164" i="59"/>
  <c r="I164" i="59" s="1"/>
  <c r="G166" i="59" l="1"/>
  <c r="F166" i="59"/>
  <c r="E166" i="59"/>
  <c r="H166" i="59" s="1"/>
  <c r="I166" i="59" s="1"/>
  <c r="B42" i="59"/>
  <c r="H165" i="59"/>
  <c r="I165" i="59" s="1"/>
  <c r="F167" i="59" l="1"/>
  <c r="G167" i="59"/>
  <c r="E167" i="59"/>
  <c r="H167" i="59" l="1"/>
  <c r="I167" i="59" s="1"/>
  <c r="E168" i="59"/>
  <c r="F168" i="59"/>
  <c r="F169" i="59" s="1"/>
  <c r="G168" i="59"/>
  <c r="G169" i="59" s="1"/>
  <c r="H168" i="59" l="1"/>
  <c r="E169" i="59"/>
  <c r="I168" i="59" l="1"/>
  <c r="I169" i="59" s="1"/>
  <c r="C23" i="50" s="1"/>
  <c r="C27" i="50" s="1"/>
  <c r="H169" i="59"/>
  <c r="B23" i="50" s="1"/>
  <c r="B27" i="50" s="1"/>
  <c r="B30" i="50" l="1"/>
  <c r="B29" i="50"/>
  <c r="C29" i="50"/>
  <c r="C30" i="50"/>
  <c r="E133" i="53" l="1"/>
  <c r="D132" i="53"/>
  <c r="D133" i="53" s="1"/>
  <c r="D134" i="53" s="1"/>
  <c r="D135" i="53" s="1"/>
  <c r="D136" i="53" s="1"/>
  <c r="D137" i="53" s="1"/>
  <c r="D138" i="53" s="1"/>
  <c r="D139" i="53" s="1"/>
  <c r="D140" i="53" s="1"/>
  <c r="D141" i="53" s="1"/>
  <c r="D142" i="53" s="1"/>
  <c r="D143" i="53" s="1"/>
  <c r="D144" i="53" s="1"/>
  <c r="D145" i="53" s="1"/>
  <c r="D146" i="53" s="1"/>
  <c r="D147" i="53" s="1"/>
  <c r="D148" i="53" s="1"/>
  <c r="D149" i="53" s="1"/>
  <c r="D150" i="53" s="1"/>
  <c r="D151" i="53" s="1"/>
  <c r="D152" i="53" s="1"/>
  <c r="D153" i="53" s="1"/>
  <c r="D154" i="53" s="1"/>
  <c r="D155" i="53" s="1"/>
  <c r="D156" i="53" s="1"/>
  <c r="D158" i="53" s="1"/>
  <c r="D159" i="53" s="1"/>
  <c r="D160" i="53" s="1"/>
  <c r="D161" i="53" s="1"/>
  <c r="D162" i="53" s="1"/>
  <c r="D163" i="53" s="1"/>
  <c r="D164" i="53" s="1"/>
  <c r="D165" i="53" s="1"/>
  <c r="D166" i="53" s="1"/>
  <c r="D167" i="53" s="1"/>
  <c r="D168" i="53" s="1"/>
  <c r="C138" i="53"/>
  <c r="C139" i="53" s="1"/>
  <c r="C140" i="53" s="1"/>
  <c r="C141" i="53" s="1"/>
  <c r="C142" i="53" s="1"/>
  <c r="C143" i="53" s="1"/>
  <c r="C144" i="53" s="1"/>
  <c r="C145" i="53" s="1"/>
  <c r="C146" i="53" s="1"/>
  <c r="C147" i="53" s="1"/>
  <c r="C148" i="53" s="1"/>
  <c r="C149" i="53" s="1"/>
  <c r="C150" i="53" s="1"/>
  <c r="C151" i="53" s="1"/>
  <c r="C152" i="53" s="1"/>
  <c r="C153" i="53" s="1"/>
  <c r="C154" i="53" s="1"/>
  <c r="C155" i="53" s="1"/>
  <c r="C156" i="53" s="1"/>
  <c r="C158" i="53" s="1"/>
  <c r="C159" i="53" s="1"/>
  <c r="C160" i="53" s="1"/>
  <c r="C161" i="53" s="1"/>
  <c r="C162" i="53" s="1"/>
  <c r="C163" i="53" s="1"/>
  <c r="C164" i="53" s="1"/>
  <c r="C165" i="53" s="1"/>
  <c r="C166" i="53" s="1"/>
  <c r="C167" i="53" s="1"/>
  <c r="C168" i="53" s="1"/>
  <c r="C12" i="53"/>
  <c r="C13" i="53" s="1"/>
  <c r="C14" i="53" s="1"/>
  <c r="C15" i="53" s="1"/>
  <c r="C16" i="53" s="1"/>
  <c r="C17" i="53" s="1"/>
  <c r="C18" i="53" s="1"/>
  <c r="C19" i="53" s="1"/>
  <c r="C20" i="53" s="1"/>
  <c r="C21" i="53" s="1"/>
  <c r="C22" i="53" s="1"/>
  <c r="C23" i="53" s="1"/>
  <c r="C24" i="53" s="1"/>
  <c r="C25" i="53" s="1"/>
  <c r="C26" i="53" s="1"/>
  <c r="C27" i="53" s="1"/>
  <c r="C28" i="53" s="1"/>
  <c r="C29" i="53" s="1"/>
  <c r="C30" i="53" s="1"/>
  <c r="C31" i="53" s="1"/>
  <c r="C32" i="53" s="1"/>
  <c r="C33" i="53" s="1"/>
  <c r="C34" i="53" s="1"/>
  <c r="C35" i="53" s="1"/>
  <c r="C36" i="53" s="1"/>
  <c r="C37" i="53" s="1"/>
  <c r="C38" i="53" s="1"/>
  <c r="C39" i="53" s="1"/>
  <c r="C40" i="53" s="1"/>
  <c r="C41" i="53" s="1"/>
  <c r="C42" i="53" s="1"/>
  <c r="D7" i="53"/>
  <c r="D8" i="53" s="1"/>
  <c r="D9" i="53" s="1"/>
  <c r="D10" i="53" s="1"/>
  <c r="D11" i="53" s="1"/>
  <c r="D12" i="53" s="1"/>
  <c r="D13" i="53" s="1"/>
  <c r="D14" i="53" s="1"/>
  <c r="D15" i="53" s="1"/>
  <c r="D16" i="53" s="1"/>
  <c r="D17" i="53" s="1"/>
  <c r="D18" i="53" s="1"/>
  <c r="D19" i="53" s="1"/>
  <c r="D20" i="53" s="1"/>
  <c r="D21" i="53" s="1"/>
  <c r="D22" i="53" s="1"/>
  <c r="D23" i="53" s="1"/>
  <c r="D24" i="53" s="1"/>
  <c r="D25" i="53" s="1"/>
  <c r="D26" i="53" s="1"/>
  <c r="D27" i="53" s="1"/>
  <c r="D28" i="53" s="1"/>
  <c r="D29" i="53" s="1"/>
  <c r="D30" i="53" s="1"/>
  <c r="D31" i="53" s="1"/>
  <c r="D32" i="53" s="1"/>
  <c r="D33" i="53" s="1"/>
  <c r="D34" i="53" s="1"/>
  <c r="D35" i="53" s="1"/>
  <c r="D36" i="53" s="1"/>
  <c r="D37" i="53" s="1"/>
  <c r="D38" i="53" s="1"/>
  <c r="D39" i="53" s="1"/>
  <c r="D40" i="53" s="1"/>
  <c r="D41" i="53" s="1"/>
  <c r="D42" i="53" s="1"/>
  <c r="B138" i="53"/>
  <c r="B139" i="53" s="1"/>
  <c r="B140" i="53" s="1"/>
  <c r="B141" i="53" s="1"/>
  <c r="B142" i="53" s="1"/>
  <c r="B143" i="53" s="1"/>
  <c r="B144" i="53" s="1"/>
  <c r="B145" i="53" s="1"/>
  <c r="B146" i="53" s="1"/>
  <c r="B147" i="53" s="1"/>
  <c r="B148" i="53" s="1"/>
  <c r="B149" i="53" s="1"/>
  <c r="B150" i="53" s="1"/>
  <c r="B151" i="53" s="1"/>
  <c r="B152" i="53" s="1"/>
  <c r="B153" i="53" s="1"/>
  <c r="B154" i="53" s="1"/>
  <c r="B155" i="53" s="1"/>
  <c r="B156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36" i="53"/>
  <c r="B135" i="53" s="1"/>
  <c r="B134" i="53" s="1"/>
  <c r="B133" i="53" s="1"/>
  <c r="B132" i="53" s="1"/>
  <c r="G133" i="53"/>
  <c r="F133" i="53"/>
  <c r="G132" i="53"/>
  <c r="F132" i="53"/>
  <c r="E132" i="53"/>
  <c r="H132" i="53" s="1"/>
  <c r="I132" i="53" l="1"/>
  <c r="H133" i="53"/>
  <c r="I133" i="53" s="1"/>
  <c r="C68" i="50" l="1"/>
  <c r="B68" i="50"/>
  <c r="B58" i="50"/>
  <c r="C58" i="50"/>
  <c r="B72" i="50" l="1"/>
  <c r="C72" i="50"/>
  <c r="C55" i="50"/>
  <c r="B55" i="50"/>
  <c r="C75" i="50" l="1"/>
  <c r="C74" i="50"/>
  <c r="B75" i="50"/>
  <c r="B74" i="50"/>
  <c r="C53" i="50" l="1"/>
  <c r="B53" i="50"/>
  <c r="B57" i="50" l="1"/>
  <c r="C57" i="50"/>
  <c r="C59" i="50" l="1"/>
  <c r="C60" i="50"/>
  <c r="B60" i="50"/>
  <c r="B59" i="50"/>
  <c r="M41" i="19" l="1"/>
  <c r="T25" i="19"/>
  <c r="E25" i="19" s="1"/>
  <c r="B10" i="53"/>
  <c r="B9" i="53" s="1"/>
  <c r="B8" i="53" s="1"/>
  <c r="B7" i="53" s="1"/>
  <c r="B6" i="53" s="1"/>
  <c r="B12" i="53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C45" i="19"/>
  <c r="B45" i="19"/>
  <c r="F45" i="19"/>
  <c r="G45" i="19"/>
  <c r="E45" i="19"/>
  <c r="J24" i="19"/>
  <c r="J26" i="19"/>
  <c r="B25" i="19" l="1"/>
  <c r="D25" i="19"/>
  <c r="C25" i="19"/>
  <c r="I25" i="19"/>
  <c r="H25" i="19"/>
  <c r="G25" i="19"/>
  <c r="F25" i="19"/>
  <c r="B34" i="53"/>
  <c r="J25" i="19" l="1"/>
  <c r="B35" i="53"/>
  <c r="B36" i="53" l="1"/>
  <c r="C60" i="19"/>
  <c r="B35" i="19"/>
  <c r="N95" i="53"/>
  <c r="M95" i="53"/>
  <c r="L95" i="53"/>
  <c r="N94" i="53"/>
  <c r="M94" i="53"/>
  <c r="L94" i="53"/>
  <c r="N93" i="53"/>
  <c r="M93" i="53"/>
  <c r="L93" i="53"/>
  <c r="N92" i="53"/>
  <c r="M92" i="53"/>
  <c r="L92" i="53"/>
  <c r="N91" i="53"/>
  <c r="M91" i="53"/>
  <c r="L91" i="53"/>
  <c r="N90" i="53"/>
  <c r="M90" i="53"/>
  <c r="L90" i="53"/>
  <c r="M53" i="53"/>
  <c r="M52" i="53"/>
  <c r="M51" i="53"/>
  <c r="M50" i="53"/>
  <c r="M49" i="53"/>
  <c r="M48" i="53"/>
  <c r="G136" i="53"/>
  <c r="F136" i="53"/>
  <c r="E136" i="53"/>
  <c r="G135" i="53"/>
  <c r="F135" i="53"/>
  <c r="E135" i="53"/>
  <c r="G134" i="53"/>
  <c r="F134" i="53"/>
  <c r="E134" i="53"/>
  <c r="B37" i="53" l="1"/>
  <c r="G39" i="43"/>
  <c r="G40" i="43" s="1"/>
  <c r="G41" i="43" s="1"/>
  <c r="G42" i="43" s="1"/>
  <c r="G43" i="43" s="1"/>
  <c r="G44" i="43" s="1"/>
  <c r="M6" i="43"/>
  <c r="M7" i="43" s="1"/>
  <c r="M8" i="43" s="1"/>
  <c r="M9" i="43" s="1"/>
  <c r="M10" i="43" s="1"/>
  <c r="M11" i="43" s="1"/>
  <c r="M12" i="43" s="1"/>
  <c r="M13" i="43" s="1"/>
  <c r="M14" i="43" s="1"/>
  <c r="M15" i="43" s="1"/>
  <c r="M16" i="43" s="1"/>
  <c r="M17" i="43" s="1"/>
  <c r="M18" i="43" s="1"/>
  <c r="M19" i="43" s="1"/>
  <c r="M20" i="43" s="1"/>
  <c r="M21" i="43" s="1"/>
  <c r="M22" i="43" s="1"/>
  <c r="M23" i="43" s="1"/>
  <c r="M24" i="43" s="1"/>
  <c r="M25" i="43" s="1"/>
  <c r="M26" i="43" s="1"/>
  <c r="M27" i="43" s="1"/>
  <c r="M28" i="43" s="1"/>
  <c r="M29" i="43" s="1"/>
  <c r="M30" i="43" s="1"/>
  <c r="M31" i="43" s="1"/>
  <c r="M32" i="43" s="1"/>
  <c r="M33" i="43" s="1"/>
  <c r="M34" i="43" s="1"/>
  <c r="M35" i="43" s="1"/>
  <c r="M36" i="43" s="1"/>
  <c r="B38" i="53" l="1"/>
  <c r="B39" i="53" l="1"/>
  <c r="B40" i="53" s="1"/>
  <c r="B41" i="53" s="1"/>
  <c r="B42" i="53" s="1"/>
  <c r="M37" i="43" l="1"/>
  <c r="M38" i="43" l="1"/>
  <c r="M39" i="43" l="1"/>
  <c r="D53" i="47"/>
  <c r="D54" i="47" s="1"/>
  <c r="D41" i="19"/>
  <c r="D45" i="19" l="1"/>
  <c r="H41" i="19"/>
  <c r="H45" i="19" s="1"/>
  <c r="B6" i="19" s="1"/>
  <c r="B40" i="50"/>
  <c r="B10" i="50" s="1"/>
  <c r="D55" i="47"/>
  <c r="C40" i="50" s="1"/>
  <c r="C10" i="50" s="1"/>
  <c r="M40" i="43"/>
  <c r="B43" i="50" l="1"/>
  <c r="B13" i="50" s="1"/>
  <c r="M41" i="43"/>
  <c r="C43" i="50" l="1"/>
  <c r="C13" i="50" s="1"/>
  <c r="M42" i="43"/>
  <c r="M43" i="43" l="1"/>
  <c r="N59" i="19" l="1"/>
  <c r="M59" i="19"/>
  <c r="L59" i="19"/>
  <c r="N58" i="19"/>
  <c r="M58" i="19"/>
  <c r="L58" i="19"/>
  <c r="N57" i="19"/>
  <c r="M57" i="19"/>
  <c r="L57" i="19"/>
  <c r="N56" i="19"/>
  <c r="M56" i="19"/>
  <c r="L56" i="19"/>
  <c r="N55" i="19"/>
  <c r="M55" i="19"/>
  <c r="L55" i="19"/>
  <c r="B60" i="19" l="1"/>
  <c r="D60" i="19" l="1"/>
  <c r="N54" i="19" l="1"/>
  <c r="N53" i="19"/>
  <c r="N52" i="19"/>
  <c r="M54" i="19"/>
  <c r="M53" i="19"/>
  <c r="M52" i="19"/>
  <c r="M44" i="19"/>
  <c r="M43" i="19"/>
  <c r="M42" i="19"/>
  <c r="M45" i="19" l="1"/>
  <c r="M68" i="19"/>
  <c r="N67" i="19"/>
  <c r="J41" i="19"/>
  <c r="J45" i="19" s="1"/>
  <c r="I41" i="19"/>
  <c r="I45" i="19" s="1"/>
  <c r="N68" i="19"/>
  <c r="M67" i="19"/>
  <c r="L54" i="19"/>
  <c r="L53" i="19"/>
  <c r="L52" i="19"/>
  <c r="L44" i="19"/>
  <c r="L43" i="19"/>
  <c r="L42" i="19"/>
  <c r="L41" i="19"/>
  <c r="L68" i="19"/>
  <c r="L67" i="19"/>
  <c r="D69" i="19" l="1"/>
  <c r="E60" i="19" l="1"/>
  <c r="F69" i="19"/>
  <c r="G69" i="19"/>
  <c r="E69" i="19"/>
  <c r="C69" i="19" l="1"/>
  <c r="G60" i="19"/>
  <c r="F60" i="19"/>
  <c r="D6" i="19" l="1"/>
  <c r="I69" i="19"/>
  <c r="C8" i="19" s="1"/>
  <c r="J69" i="19"/>
  <c r="D8" i="19" s="1"/>
  <c r="J60" i="19"/>
  <c r="D7" i="19" s="1"/>
  <c r="N69" i="19"/>
  <c r="M60" i="19"/>
  <c r="C6" i="19"/>
  <c r="M69" i="19"/>
  <c r="E96" i="53" s="1"/>
  <c r="H69" i="19"/>
  <c r="B8" i="19" s="1"/>
  <c r="H60" i="19"/>
  <c r="B7" i="19" s="1"/>
  <c r="I60" i="19"/>
  <c r="C7" i="19" s="1"/>
  <c r="N60" i="19"/>
  <c r="F96" i="53" l="1"/>
  <c r="I96" i="53" s="1"/>
  <c r="E54" i="53"/>
  <c r="G54" i="53" s="1"/>
  <c r="F168" i="53" l="1"/>
  <c r="E168" i="53"/>
  <c r="G167" i="53"/>
  <c r="F167" i="53"/>
  <c r="G168" i="53"/>
  <c r="E167" i="53"/>
  <c r="F54" i="53"/>
  <c r="H54" i="53"/>
  <c r="E65" i="53"/>
  <c r="E105" i="53"/>
  <c r="H105" i="53" s="1"/>
  <c r="K105" i="53" s="1"/>
  <c r="N105" i="53" s="1"/>
  <c r="H96" i="53"/>
  <c r="E95" i="53"/>
  <c r="F95" i="53" s="1"/>
  <c r="E123" i="53"/>
  <c r="H123" i="53" s="1"/>
  <c r="K123" i="53" s="1"/>
  <c r="N123" i="53" s="1"/>
  <c r="E91" i="53"/>
  <c r="H91" i="53" s="1"/>
  <c r="E98" i="53"/>
  <c r="H98" i="53" s="1"/>
  <c r="K98" i="53" s="1"/>
  <c r="N98" i="53" s="1"/>
  <c r="E125" i="53"/>
  <c r="F125" i="53" s="1"/>
  <c r="I125" i="53" s="1"/>
  <c r="L125" i="53" s="1"/>
  <c r="E100" i="53"/>
  <c r="G100" i="53" s="1"/>
  <c r="J100" i="53" s="1"/>
  <c r="M100" i="53" s="1"/>
  <c r="E124" i="53"/>
  <c r="G124" i="53" s="1"/>
  <c r="J124" i="53" s="1"/>
  <c r="M124" i="53" s="1"/>
  <c r="E119" i="53"/>
  <c r="H119" i="53" s="1"/>
  <c r="K119" i="53" s="1"/>
  <c r="N119" i="53" s="1"/>
  <c r="E126" i="53"/>
  <c r="H126" i="53" s="1"/>
  <c r="K126" i="53" s="1"/>
  <c r="N126" i="53" s="1"/>
  <c r="E92" i="53"/>
  <c r="H92" i="53" s="1"/>
  <c r="E101" i="53"/>
  <c r="H101" i="53" s="1"/>
  <c r="K101" i="53" s="1"/>
  <c r="N101" i="53" s="1"/>
  <c r="E102" i="53"/>
  <c r="H102" i="53" s="1"/>
  <c r="K102" i="53" s="1"/>
  <c r="N102" i="53" s="1"/>
  <c r="E120" i="53"/>
  <c r="G120" i="53" s="1"/>
  <c r="J120" i="53" s="1"/>
  <c r="M120" i="53" s="1"/>
  <c r="E115" i="53"/>
  <c r="F115" i="53" s="1"/>
  <c r="I115" i="53" s="1"/>
  <c r="L115" i="53" s="1"/>
  <c r="E122" i="53"/>
  <c r="F122" i="53" s="1"/>
  <c r="I122" i="53" s="1"/>
  <c r="L122" i="53" s="1"/>
  <c r="E93" i="53"/>
  <c r="F93" i="53" s="1"/>
  <c r="E112" i="53"/>
  <c r="F112" i="53" s="1"/>
  <c r="I112" i="53" s="1"/>
  <c r="L112" i="53" s="1"/>
  <c r="E114" i="53"/>
  <c r="F114" i="53" s="1"/>
  <c r="I114" i="53" s="1"/>
  <c r="L114" i="53" s="1"/>
  <c r="E97" i="53"/>
  <c r="F97" i="53" s="1"/>
  <c r="I97" i="53" s="1"/>
  <c r="L97" i="53" s="1"/>
  <c r="E121" i="53"/>
  <c r="F121" i="53" s="1"/>
  <c r="I121" i="53" s="1"/>
  <c r="L121" i="53" s="1"/>
  <c r="E116" i="53"/>
  <c r="F116" i="53" s="1"/>
  <c r="I116" i="53" s="1"/>
  <c r="L116" i="53" s="1"/>
  <c r="E111" i="53"/>
  <c r="F111" i="53" s="1"/>
  <c r="I111" i="53" s="1"/>
  <c r="L111" i="53" s="1"/>
  <c r="E118" i="53"/>
  <c r="F118" i="53" s="1"/>
  <c r="I118" i="53" s="1"/>
  <c r="L118" i="53" s="1"/>
  <c r="E117" i="53"/>
  <c r="F117" i="53" s="1"/>
  <c r="I117" i="53" s="1"/>
  <c r="L117" i="53" s="1"/>
  <c r="E107" i="53"/>
  <c r="F107" i="53" s="1"/>
  <c r="I107" i="53" s="1"/>
  <c r="L107" i="53" s="1"/>
  <c r="E90" i="53"/>
  <c r="H90" i="53" s="1"/>
  <c r="E108" i="53"/>
  <c r="F108" i="53" s="1"/>
  <c r="I108" i="53" s="1"/>
  <c r="L108" i="53" s="1"/>
  <c r="E103" i="53"/>
  <c r="F103" i="53" s="1"/>
  <c r="I103" i="53" s="1"/>
  <c r="L103" i="53" s="1"/>
  <c r="E110" i="53"/>
  <c r="F110" i="53" s="1"/>
  <c r="I110" i="53" s="1"/>
  <c r="L110" i="53" s="1"/>
  <c r="E109" i="53"/>
  <c r="H109" i="53" s="1"/>
  <c r="K109" i="53" s="1"/>
  <c r="N109" i="53" s="1"/>
  <c r="E113" i="53"/>
  <c r="F113" i="53" s="1"/>
  <c r="I113" i="53" s="1"/>
  <c r="L113" i="53" s="1"/>
  <c r="E104" i="53"/>
  <c r="G104" i="53" s="1"/>
  <c r="J104" i="53" s="1"/>
  <c r="M104" i="53" s="1"/>
  <c r="E99" i="53"/>
  <c r="G99" i="53" s="1"/>
  <c r="J99" i="53" s="1"/>
  <c r="M99" i="53" s="1"/>
  <c r="E106" i="53"/>
  <c r="G106" i="53" s="1"/>
  <c r="J106" i="53" s="1"/>
  <c r="M106" i="53" s="1"/>
  <c r="E94" i="53"/>
  <c r="F94" i="53" s="1"/>
  <c r="G96" i="53"/>
  <c r="E74" i="53"/>
  <c r="E48" i="53"/>
  <c r="E60" i="53"/>
  <c r="E57" i="53"/>
  <c r="E84" i="53"/>
  <c r="E70" i="53"/>
  <c r="E77" i="53"/>
  <c r="E78" i="53"/>
  <c r="E56" i="53"/>
  <c r="E50" i="53"/>
  <c r="E80" i="53"/>
  <c r="E75" i="53"/>
  <c r="E66" i="53"/>
  <c r="E69" i="53"/>
  <c r="E83" i="53"/>
  <c r="E67" i="53"/>
  <c r="E58" i="53"/>
  <c r="E53" i="53"/>
  <c r="E52" i="53"/>
  <c r="E76" i="53"/>
  <c r="E49" i="53"/>
  <c r="E62" i="53"/>
  <c r="E61" i="53"/>
  <c r="E68" i="53"/>
  <c r="E64" i="53"/>
  <c r="E72" i="53"/>
  <c r="E79" i="53"/>
  <c r="E63" i="53"/>
  <c r="E51" i="53"/>
  <c r="E81" i="53"/>
  <c r="E73" i="53"/>
  <c r="E82" i="53"/>
  <c r="E59" i="53"/>
  <c r="E71" i="53"/>
  <c r="E55" i="53"/>
  <c r="G55" i="53" s="1"/>
  <c r="H168" i="53" l="1"/>
  <c r="I168" i="53" s="1"/>
  <c r="H167" i="53"/>
  <c r="I167" i="53" s="1"/>
  <c r="G114" i="53"/>
  <c r="J114" i="53" s="1"/>
  <c r="M114" i="53" s="1"/>
  <c r="G90" i="53"/>
  <c r="G123" i="53"/>
  <c r="J123" i="53" s="1"/>
  <c r="M123" i="53" s="1"/>
  <c r="G92" i="53"/>
  <c r="G51" i="53"/>
  <c r="F51" i="53"/>
  <c r="I51" i="53" s="1"/>
  <c r="H51" i="53"/>
  <c r="K51" i="53" s="1"/>
  <c r="F76" i="53"/>
  <c r="I76" i="53" s="1"/>
  <c r="H76" i="53"/>
  <c r="K76" i="53" s="1"/>
  <c r="N76" i="53" s="1"/>
  <c r="G76" i="53"/>
  <c r="J76" i="53" s="1"/>
  <c r="M76" i="53" s="1"/>
  <c r="H49" i="53"/>
  <c r="K49" i="53" s="1"/>
  <c r="G49" i="53"/>
  <c r="F49" i="53"/>
  <c r="I49" i="53" s="1"/>
  <c r="F75" i="53"/>
  <c r="I75" i="53" s="1"/>
  <c r="L75" i="53" s="1"/>
  <c r="H75" i="53"/>
  <c r="K75" i="53" s="1"/>
  <c r="N75" i="53" s="1"/>
  <c r="G75" i="53"/>
  <c r="J75" i="53" s="1"/>
  <c r="M75" i="53" s="1"/>
  <c r="F79" i="53"/>
  <c r="I79" i="53" s="1"/>
  <c r="L79" i="53" s="1"/>
  <c r="H79" i="53"/>
  <c r="K79" i="53" s="1"/>
  <c r="N79" i="53" s="1"/>
  <c r="G79" i="53"/>
  <c r="J79" i="53" s="1"/>
  <c r="M79" i="53" s="1"/>
  <c r="G60" i="53"/>
  <c r="J60" i="53" s="1"/>
  <c r="M60" i="53" s="1"/>
  <c r="F60" i="53"/>
  <c r="I60" i="53" s="1"/>
  <c r="L60" i="53" s="1"/>
  <c r="H60" i="53"/>
  <c r="K60" i="53" s="1"/>
  <c r="F53" i="53"/>
  <c r="I53" i="53" s="1"/>
  <c r="H53" i="53"/>
  <c r="K53" i="53" s="1"/>
  <c r="G53" i="53"/>
  <c r="G84" i="53"/>
  <c r="J84" i="53" s="1"/>
  <c r="M84" i="53" s="1"/>
  <c r="H84" i="53"/>
  <c r="K84" i="53" s="1"/>
  <c r="F84" i="53"/>
  <c r="I84" i="53" s="1"/>
  <c r="L84" i="53" s="1"/>
  <c r="G52" i="53"/>
  <c r="H52" i="53"/>
  <c r="K52" i="53" s="1"/>
  <c r="F52" i="53"/>
  <c r="I52" i="53" s="1"/>
  <c r="G71" i="53"/>
  <c r="J71" i="53" s="1"/>
  <c r="M71" i="53" s="1"/>
  <c r="F71" i="53"/>
  <c r="I71" i="53" s="1"/>
  <c r="L71" i="53" s="1"/>
  <c r="H71" i="53"/>
  <c r="K71" i="53" s="1"/>
  <c r="N71" i="53" s="1"/>
  <c r="H48" i="53"/>
  <c r="G48" i="53"/>
  <c r="G85" i="53" s="1"/>
  <c r="F48" i="53"/>
  <c r="F65" i="53"/>
  <c r="I65" i="53" s="1"/>
  <c r="L65" i="53" s="1"/>
  <c r="G65" i="53"/>
  <c r="J65" i="53" s="1"/>
  <c r="M65" i="53" s="1"/>
  <c r="H65" i="53"/>
  <c r="K65" i="53" s="1"/>
  <c r="N65" i="53" s="1"/>
  <c r="H64" i="53"/>
  <c r="K64" i="53" s="1"/>
  <c r="N64" i="53" s="1"/>
  <c r="F64" i="53"/>
  <c r="I64" i="53" s="1"/>
  <c r="L64" i="53" s="1"/>
  <c r="G64" i="53"/>
  <c r="J64" i="53" s="1"/>
  <c r="M64" i="53" s="1"/>
  <c r="G74" i="53"/>
  <c r="J74" i="53" s="1"/>
  <c r="F74" i="53"/>
  <c r="I74" i="53" s="1"/>
  <c r="L74" i="53" s="1"/>
  <c r="H74" i="53"/>
  <c r="K74" i="53" s="1"/>
  <c r="N74" i="53" s="1"/>
  <c r="H68" i="53"/>
  <c r="K68" i="53" s="1"/>
  <c r="N68" i="53" s="1"/>
  <c r="G68" i="53"/>
  <c r="J68" i="53" s="1"/>
  <c r="M68" i="53" s="1"/>
  <c r="F68" i="53"/>
  <c r="I68" i="53" s="1"/>
  <c r="J55" i="53"/>
  <c r="M55" i="53" s="1"/>
  <c r="H55" i="53"/>
  <c r="K55" i="53" s="1"/>
  <c r="N55" i="53" s="1"/>
  <c r="F55" i="53"/>
  <c r="I55" i="53" s="1"/>
  <c r="L55" i="53" s="1"/>
  <c r="H50" i="53"/>
  <c r="K50" i="53" s="1"/>
  <c r="F50" i="53"/>
  <c r="I50" i="53" s="1"/>
  <c r="G50" i="53"/>
  <c r="G56" i="53"/>
  <c r="J56" i="53" s="1"/>
  <c r="M56" i="53" s="1"/>
  <c r="H56" i="53"/>
  <c r="K56" i="53" s="1"/>
  <c r="N56" i="53" s="1"/>
  <c r="F56" i="53"/>
  <c r="I56" i="53" s="1"/>
  <c r="L56" i="53" s="1"/>
  <c r="F67" i="53"/>
  <c r="I67" i="53" s="1"/>
  <c r="L67" i="53" s="1"/>
  <c r="G67" i="53"/>
  <c r="J67" i="53" s="1"/>
  <c r="M67" i="53" s="1"/>
  <c r="H67" i="53"/>
  <c r="K67" i="53" s="1"/>
  <c r="G122" i="53"/>
  <c r="J122" i="53" s="1"/>
  <c r="M122" i="53" s="1"/>
  <c r="G83" i="53"/>
  <c r="J83" i="53" s="1"/>
  <c r="M83" i="53" s="1"/>
  <c r="F83" i="53"/>
  <c r="I83" i="53" s="1"/>
  <c r="L83" i="53" s="1"/>
  <c r="H83" i="53"/>
  <c r="K83" i="53" s="1"/>
  <c r="N83" i="53" s="1"/>
  <c r="F66" i="53"/>
  <c r="I66" i="53" s="1"/>
  <c r="L66" i="53" s="1"/>
  <c r="G66" i="53"/>
  <c r="J66" i="53" s="1"/>
  <c r="M66" i="53" s="1"/>
  <c r="H66" i="53"/>
  <c r="K66" i="53" s="1"/>
  <c r="N66" i="53" s="1"/>
  <c r="H63" i="53"/>
  <c r="K63" i="53" s="1"/>
  <c r="N63" i="53" s="1"/>
  <c r="G63" i="53"/>
  <c r="J63" i="53" s="1"/>
  <c r="M63" i="53" s="1"/>
  <c r="F63" i="53"/>
  <c r="I63" i="53" s="1"/>
  <c r="L63" i="53" s="1"/>
  <c r="F57" i="53"/>
  <c r="I57" i="53" s="1"/>
  <c r="L57" i="53" s="1"/>
  <c r="H57" i="53"/>
  <c r="K57" i="53" s="1"/>
  <c r="N57" i="53" s="1"/>
  <c r="G57" i="53"/>
  <c r="J57" i="53" s="1"/>
  <c r="M57" i="53" s="1"/>
  <c r="G80" i="53"/>
  <c r="J80" i="53" s="1"/>
  <c r="M80" i="53" s="1"/>
  <c r="H80" i="53"/>
  <c r="K80" i="53" s="1"/>
  <c r="N80" i="53" s="1"/>
  <c r="F80" i="53"/>
  <c r="I80" i="53" s="1"/>
  <c r="L80" i="53" s="1"/>
  <c r="G72" i="53"/>
  <c r="J72" i="53" s="1"/>
  <c r="M72" i="53" s="1"/>
  <c r="H72" i="53"/>
  <c r="K72" i="53" s="1"/>
  <c r="N72" i="53" s="1"/>
  <c r="F72" i="53"/>
  <c r="I72" i="53" s="1"/>
  <c r="L72" i="53" s="1"/>
  <c r="H59" i="53"/>
  <c r="K59" i="53" s="1"/>
  <c r="N59" i="53" s="1"/>
  <c r="F59" i="53"/>
  <c r="I59" i="53" s="1"/>
  <c r="L59" i="53" s="1"/>
  <c r="G59" i="53"/>
  <c r="J59" i="53" s="1"/>
  <c r="M59" i="53" s="1"/>
  <c r="F58" i="53"/>
  <c r="I58" i="53" s="1"/>
  <c r="L58" i="53" s="1"/>
  <c r="H58" i="53"/>
  <c r="K58" i="53" s="1"/>
  <c r="N58" i="53" s="1"/>
  <c r="G58" i="53"/>
  <c r="J58" i="53" s="1"/>
  <c r="M58" i="53" s="1"/>
  <c r="F82" i="53"/>
  <c r="I82" i="53" s="1"/>
  <c r="L82" i="53" s="1"/>
  <c r="H82" i="53"/>
  <c r="K82" i="53" s="1"/>
  <c r="N82" i="53" s="1"/>
  <c r="G82" i="53"/>
  <c r="J82" i="53" s="1"/>
  <c r="M82" i="53" s="1"/>
  <c r="G78" i="53"/>
  <c r="J78" i="53" s="1"/>
  <c r="M78" i="53" s="1"/>
  <c r="H78" i="53"/>
  <c r="K78" i="53" s="1"/>
  <c r="N78" i="53" s="1"/>
  <c r="F78" i="53"/>
  <c r="I78" i="53" s="1"/>
  <c r="L78" i="53" s="1"/>
  <c r="H73" i="53"/>
  <c r="K73" i="53" s="1"/>
  <c r="N73" i="53" s="1"/>
  <c r="G73" i="53"/>
  <c r="J73" i="53" s="1"/>
  <c r="M73" i="53" s="1"/>
  <c r="F73" i="53"/>
  <c r="I73" i="53" s="1"/>
  <c r="L73" i="53" s="1"/>
  <c r="G61" i="53"/>
  <c r="J61" i="53" s="1"/>
  <c r="M61" i="53" s="1"/>
  <c r="H61" i="53"/>
  <c r="K61" i="53" s="1"/>
  <c r="N61" i="53" s="1"/>
  <c r="F61" i="53"/>
  <c r="I61" i="53" s="1"/>
  <c r="L61" i="53" s="1"/>
  <c r="F77" i="53"/>
  <c r="I77" i="53" s="1"/>
  <c r="L77" i="53" s="1"/>
  <c r="G77" i="53"/>
  <c r="J77" i="53" s="1"/>
  <c r="M77" i="53" s="1"/>
  <c r="H77" i="53"/>
  <c r="K77" i="53" s="1"/>
  <c r="N77" i="53" s="1"/>
  <c r="F81" i="53"/>
  <c r="I81" i="53" s="1"/>
  <c r="L81" i="53" s="1"/>
  <c r="G81" i="53"/>
  <c r="J81" i="53" s="1"/>
  <c r="M81" i="53" s="1"/>
  <c r="H81" i="53"/>
  <c r="K81" i="53" s="1"/>
  <c r="F62" i="53"/>
  <c r="I62" i="53" s="1"/>
  <c r="L62" i="53" s="1"/>
  <c r="H62" i="53"/>
  <c r="K62" i="53" s="1"/>
  <c r="N62" i="53" s="1"/>
  <c r="G62" i="53"/>
  <c r="J62" i="53" s="1"/>
  <c r="H69" i="53"/>
  <c r="K69" i="53" s="1"/>
  <c r="N69" i="53" s="1"/>
  <c r="G69" i="53"/>
  <c r="J69" i="53" s="1"/>
  <c r="M69" i="53" s="1"/>
  <c r="F69" i="53"/>
  <c r="I69" i="53" s="1"/>
  <c r="L69" i="53" s="1"/>
  <c r="F70" i="53"/>
  <c r="I70" i="53" s="1"/>
  <c r="L70" i="53" s="1"/>
  <c r="H70" i="53"/>
  <c r="K70" i="53" s="1"/>
  <c r="N70" i="53" s="1"/>
  <c r="G70" i="53"/>
  <c r="J70" i="53" s="1"/>
  <c r="M70" i="53" s="1"/>
  <c r="G121" i="53"/>
  <c r="J121" i="53" s="1"/>
  <c r="M121" i="53" s="1"/>
  <c r="G118" i="53"/>
  <c r="J118" i="53" s="1"/>
  <c r="M118" i="53" s="1"/>
  <c r="G113" i="53"/>
  <c r="J113" i="53" s="1"/>
  <c r="M113" i="53" s="1"/>
  <c r="G102" i="53"/>
  <c r="J102" i="53" s="1"/>
  <c r="M102" i="53" s="1"/>
  <c r="G115" i="53"/>
  <c r="J115" i="53" s="1"/>
  <c r="M115" i="53" s="1"/>
  <c r="G109" i="53"/>
  <c r="J109" i="53" s="1"/>
  <c r="M109" i="53" s="1"/>
  <c r="G110" i="53"/>
  <c r="J110" i="53" s="1"/>
  <c r="M110" i="53" s="1"/>
  <c r="G98" i="53"/>
  <c r="J98" i="53" s="1"/>
  <c r="M98" i="53" s="1"/>
  <c r="G103" i="53"/>
  <c r="J103" i="53" s="1"/>
  <c r="M103" i="53" s="1"/>
  <c r="G125" i="53"/>
  <c r="J125" i="53" s="1"/>
  <c r="M125" i="53" s="1"/>
  <c r="G111" i="53"/>
  <c r="J111" i="53" s="1"/>
  <c r="M111" i="53" s="1"/>
  <c r="G116" i="53"/>
  <c r="J116" i="53" s="1"/>
  <c r="M116" i="53" s="1"/>
  <c r="G95" i="53"/>
  <c r="G107" i="53"/>
  <c r="J107" i="53" s="1"/>
  <c r="M107" i="53" s="1"/>
  <c r="G105" i="53"/>
  <c r="J105" i="53" s="1"/>
  <c r="M105" i="53" s="1"/>
  <c r="G126" i="53"/>
  <c r="J126" i="53" s="1"/>
  <c r="M126" i="53" s="1"/>
  <c r="G112" i="53"/>
  <c r="J112" i="53" s="1"/>
  <c r="M112" i="53" s="1"/>
  <c r="G119" i="53"/>
  <c r="J119" i="53" s="1"/>
  <c r="M119" i="53" s="1"/>
  <c r="G93" i="53"/>
  <c r="G117" i="53"/>
  <c r="J117" i="53" s="1"/>
  <c r="M117" i="53" s="1"/>
  <c r="F105" i="53"/>
  <c r="I105" i="53" s="1"/>
  <c r="L105" i="53" s="1"/>
  <c r="G91" i="53"/>
  <c r="F123" i="53"/>
  <c r="I123" i="53" s="1"/>
  <c r="L123" i="53" s="1"/>
  <c r="H104" i="53"/>
  <c r="K104" i="53" s="1"/>
  <c r="N104" i="53" s="1"/>
  <c r="H124" i="53"/>
  <c r="K124" i="53" s="1"/>
  <c r="N124" i="53" s="1"/>
  <c r="H122" i="53"/>
  <c r="K122" i="53" s="1"/>
  <c r="H95" i="53"/>
  <c r="F90" i="53"/>
  <c r="G94" i="53"/>
  <c r="F100" i="53"/>
  <c r="I100" i="53" s="1"/>
  <c r="L100" i="53" s="1"/>
  <c r="F99" i="53"/>
  <c r="I99" i="53" s="1"/>
  <c r="L99" i="53" s="1"/>
  <c r="H93" i="53"/>
  <c r="H114" i="53"/>
  <c r="K114" i="53" s="1"/>
  <c r="N114" i="53" s="1"/>
  <c r="H116" i="53"/>
  <c r="K116" i="53" s="1"/>
  <c r="N116" i="53" s="1"/>
  <c r="H113" i="53"/>
  <c r="K113" i="53" s="1"/>
  <c r="G108" i="53"/>
  <c r="J108" i="53" s="1"/>
  <c r="M108" i="53" s="1"/>
  <c r="F101" i="53"/>
  <c r="I101" i="53" s="1"/>
  <c r="L101" i="53" s="1"/>
  <c r="F109" i="53"/>
  <c r="I109" i="53" s="1"/>
  <c r="L109" i="53" s="1"/>
  <c r="H97" i="53"/>
  <c r="K97" i="53" s="1"/>
  <c r="N97" i="53" s="1"/>
  <c r="K96" i="53"/>
  <c r="G101" i="53"/>
  <c r="J101" i="53" s="1"/>
  <c r="M101" i="53" s="1"/>
  <c r="F91" i="53"/>
  <c r="F119" i="53"/>
  <c r="I119" i="53" s="1"/>
  <c r="L119" i="53" s="1"/>
  <c r="H107" i="53"/>
  <c r="K107" i="53" s="1"/>
  <c r="N107" i="53" s="1"/>
  <c r="H118" i="53"/>
  <c r="K118" i="53" s="1"/>
  <c r="N118" i="53" s="1"/>
  <c r="H111" i="53"/>
  <c r="K111" i="53" s="1"/>
  <c r="N111" i="53" s="1"/>
  <c r="G97" i="53"/>
  <c r="J97" i="53" s="1"/>
  <c r="M97" i="53" s="1"/>
  <c r="J54" i="53"/>
  <c r="F92" i="53"/>
  <c r="F102" i="53"/>
  <c r="I102" i="53" s="1"/>
  <c r="L102" i="53" s="1"/>
  <c r="H103" i="53"/>
  <c r="K103" i="53" s="1"/>
  <c r="N103" i="53" s="1"/>
  <c r="H112" i="53"/>
  <c r="K112" i="53" s="1"/>
  <c r="N112" i="53" s="1"/>
  <c r="H115" i="53"/>
  <c r="K115" i="53" s="1"/>
  <c r="N115" i="53" s="1"/>
  <c r="F120" i="53"/>
  <c r="I120" i="53" s="1"/>
  <c r="L120" i="53" s="1"/>
  <c r="F126" i="53"/>
  <c r="I126" i="53" s="1"/>
  <c r="L126" i="53" s="1"/>
  <c r="H99" i="53"/>
  <c r="K99" i="53" s="1"/>
  <c r="N99" i="53" s="1"/>
  <c r="H108" i="53"/>
  <c r="K108" i="53" s="1"/>
  <c r="N108" i="53" s="1"/>
  <c r="H106" i="53"/>
  <c r="K106" i="53" s="1"/>
  <c r="N106" i="53" s="1"/>
  <c r="F106" i="53"/>
  <c r="I106" i="53" s="1"/>
  <c r="L106" i="53" s="1"/>
  <c r="F98" i="53"/>
  <c r="I98" i="53" s="1"/>
  <c r="L98" i="53" s="1"/>
  <c r="H110" i="53"/>
  <c r="K110" i="53" s="1"/>
  <c r="N110" i="53" s="1"/>
  <c r="H100" i="53"/>
  <c r="K100" i="53" s="1"/>
  <c r="N100" i="53" s="1"/>
  <c r="H120" i="53"/>
  <c r="K120" i="53" s="1"/>
  <c r="I54" i="53"/>
  <c r="L54" i="53" s="1"/>
  <c r="H94" i="53"/>
  <c r="J96" i="53"/>
  <c r="F124" i="53"/>
  <c r="I124" i="53" s="1"/>
  <c r="L124" i="53" s="1"/>
  <c r="F104" i="53"/>
  <c r="I104" i="53" s="1"/>
  <c r="L104" i="53" s="1"/>
  <c r="H125" i="53"/>
  <c r="K125" i="53" s="1"/>
  <c r="N125" i="53" s="1"/>
  <c r="H121" i="53"/>
  <c r="K121" i="53" s="1"/>
  <c r="N121" i="53" s="1"/>
  <c r="H117" i="53"/>
  <c r="K117" i="53" s="1"/>
  <c r="K54" i="53"/>
  <c r="N54" i="53" s="1"/>
  <c r="G158" i="53" l="1"/>
  <c r="E164" i="53"/>
  <c r="E160" i="53"/>
  <c r="E161" i="53"/>
  <c r="F166" i="53"/>
  <c r="F160" i="53"/>
  <c r="G160" i="53"/>
  <c r="F164" i="53"/>
  <c r="G163" i="53"/>
  <c r="E165" i="53"/>
  <c r="G161" i="53"/>
  <c r="E162" i="53"/>
  <c r="E163" i="53"/>
  <c r="F165" i="53"/>
  <c r="F158" i="53"/>
  <c r="E159" i="53"/>
  <c r="F161" i="53"/>
  <c r="G164" i="53"/>
  <c r="G162" i="53"/>
  <c r="F163" i="53"/>
  <c r="G165" i="53"/>
  <c r="E166" i="53"/>
  <c r="G159" i="53"/>
  <c r="E158" i="53"/>
  <c r="G166" i="53"/>
  <c r="F148" i="53"/>
  <c r="F142" i="53"/>
  <c r="E143" i="53"/>
  <c r="F139" i="53"/>
  <c r="E148" i="53"/>
  <c r="E139" i="53"/>
  <c r="E154" i="53"/>
  <c r="G142" i="53"/>
  <c r="F144" i="53"/>
  <c r="G156" i="53"/>
  <c r="E141" i="53"/>
  <c r="G139" i="53"/>
  <c r="F154" i="53"/>
  <c r="F153" i="53"/>
  <c r="F156" i="53"/>
  <c r="F155" i="53"/>
  <c r="G144" i="53"/>
  <c r="E142" i="53"/>
  <c r="F147" i="53"/>
  <c r="G154" i="53"/>
  <c r="E151" i="53"/>
  <c r="G153" i="53"/>
  <c r="G150" i="53"/>
  <c r="G138" i="53"/>
  <c r="F140" i="53"/>
  <c r="G152" i="53"/>
  <c r="G151" i="53"/>
  <c r="E146" i="53"/>
  <c r="G149" i="53"/>
  <c r="E153" i="53"/>
  <c r="G145" i="53"/>
  <c r="E147" i="53"/>
  <c r="E155" i="53"/>
  <c r="E150" i="53"/>
  <c r="E145" i="53"/>
  <c r="G141" i="53"/>
  <c r="E140" i="53"/>
  <c r="F146" i="53"/>
  <c r="G143" i="53"/>
  <c r="F149" i="53"/>
  <c r="F152" i="53"/>
  <c r="G155" i="53"/>
  <c r="G148" i="53"/>
  <c r="F145" i="53"/>
  <c r="F141" i="53"/>
  <c r="G140" i="53"/>
  <c r="E152" i="53"/>
  <c r="G147" i="53"/>
  <c r="G146" i="53"/>
  <c r="F143" i="53"/>
  <c r="E149" i="53"/>
  <c r="K48" i="53"/>
  <c r="K85" i="53" s="1"/>
  <c r="H85" i="53"/>
  <c r="M54" i="53"/>
  <c r="J85" i="53"/>
  <c r="J86" i="53" s="1"/>
  <c r="I48" i="53"/>
  <c r="F85" i="53"/>
  <c r="H127" i="53"/>
  <c r="F127" i="53"/>
  <c r="I127" i="53"/>
  <c r="J127" i="53"/>
  <c r="G127" i="53"/>
  <c r="N96" i="53"/>
  <c r="K127" i="53"/>
  <c r="E138" i="53"/>
  <c r="G137" i="53"/>
  <c r="E144" i="53"/>
  <c r="L53" i="53"/>
  <c r="E156" i="53"/>
  <c r="L51" i="53"/>
  <c r="F151" i="53"/>
  <c r="F150" i="53"/>
  <c r="N67" i="53"/>
  <c r="F159" i="53"/>
  <c r="M62" i="53"/>
  <c r="N50" i="53"/>
  <c r="M74" i="53"/>
  <c r="N60" i="53"/>
  <c r="N52" i="53"/>
  <c r="L50" i="53"/>
  <c r="N84" i="53"/>
  <c r="N53" i="53"/>
  <c r="H136" i="53" s="1"/>
  <c r="I136" i="53" s="1"/>
  <c r="N51" i="53"/>
  <c r="N117" i="53"/>
  <c r="L49" i="53"/>
  <c r="L76" i="53"/>
  <c r="F162" i="53"/>
  <c r="N122" i="53"/>
  <c r="N113" i="53"/>
  <c r="L52" i="53"/>
  <c r="N81" i="53"/>
  <c r="N120" i="53"/>
  <c r="N49" i="53"/>
  <c r="L68" i="53"/>
  <c r="L96" i="53"/>
  <c r="L127" i="53" s="1"/>
  <c r="E137" i="53"/>
  <c r="M96" i="53"/>
  <c r="M127" i="53" s="1"/>
  <c r="F137" i="53"/>
  <c r="N48" i="53" l="1"/>
  <c r="N85" i="53" s="1"/>
  <c r="F138" i="53"/>
  <c r="F169" i="53" s="1"/>
  <c r="K128" i="53"/>
  <c r="I128" i="53"/>
  <c r="J128" i="53"/>
  <c r="K86" i="53"/>
  <c r="L48" i="53"/>
  <c r="I85" i="53"/>
  <c r="I86" i="53" s="1"/>
  <c r="H134" i="53"/>
  <c r="I134" i="53" s="1"/>
  <c r="M85" i="53"/>
  <c r="N127" i="53"/>
  <c r="H135" i="53"/>
  <c r="I135" i="53" s="1"/>
  <c r="H150" i="53"/>
  <c r="I150" i="53" s="1"/>
  <c r="H154" i="53"/>
  <c r="I154" i="53" s="1"/>
  <c r="H159" i="53"/>
  <c r="I159" i="53" s="1"/>
  <c r="H151" i="53"/>
  <c r="I151" i="53" s="1"/>
  <c r="H163" i="53"/>
  <c r="I163" i="53" s="1"/>
  <c r="H142" i="53"/>
  <c r="I142" i="53" s="1"/>
  <c r="H145" i="53"/>
  <c r="I145" i="53" s="1"/>
  <c r="H147" i="53"/>
  <c r="I147" i="53" s="1"/>
  <c r="H165" i="53"/>
  <c r="I165" i="53" s="1"/>
  <c r="H164" i="53"/>
  <c r="I164" i="53" s="1"/>
  <c r="H161" i="53"/>
  <c r="I161" i="53" s="1"/>
  <c r="H158" i="53"/>
  <c r="I158" i="53" s="1"/>
  <c r="H144" i="53"/>
  <c r="I144" i="53" s="1"/>
  <c r="H156" i="53"/>
  <c r="I156" i="53" s="1"/>
  <c r="H160" i="53"/>
  <c r="I160" i="53" s="1"/>
  <c r="H146" i="53"/>
  <c r="I146" i="53" s="1"/>
  <c r="H143" i="53"/>
  <c r="I143" i="53" s="1"/>
  <c r="H139" i="53"/>
  <c r="I139" i="53" s="1"/>
  <c r="H140" i="53"/>
  <c r="I140" i="53" s="1"/>
  <c r="H155" i="53"/>
  <c r="I155" i="53" s="1"/>
  <c r="H149" i="53"/>
  <c r="I149" i="53" s="1"/>
  <c r="H166" i="53"/>
  <c r="I166" i="53" s="1"/>
  <c r="H153" i="53"/>
  <c r="I153" i="53" s="1"/>
  <c r="H148" i="53"/>
  <c r="I148" i="53" s="1"/>
  <c r="H152" i="53"/>
  <c r="I152" i="53" s="1"/>
  <c r="H162" i="53"/>
  <c r="I162" i="53" s="1"/>
  <c r="H141" i="53"/>
  <c r="I141" i="53" s="1"/>
  <c r="H138" i="53" l="1"/>
  <c r="I138" i="53" s="1"/>
  <c r="E169" i="53"/>
  <c r="L85" i="53"/>
  <c r="G169" i="53"/>
  <c r="H137" i="53"/>
  <c r="I137" i="53" s="1"/>
  <c r="H169" i="53" l="1"/>
  <c r="B38" i="50" s="1"/>
  <c r="B8" i="50" s="1"/>
  <c r="B12" i="50" s="1"/>
  <c r="B14" i="50" l="1"/>
  <c r="B15" i="50"/>
  <c r="I169" i="53"/>
  <c r="C38" i="50" s="1"/>
  <c r="C8" i="50" l="1"/>
  <c r="C12" i="50" s="1"/>
  <c r="B42" i="50"/>
  <c r="C14" i="50" l="1"/>
  <c r="C15" i="50"/>
  <c r="C42" i="50"/>
  <c r="C45" i="50" s="1"/>
  <c r="B45" i="50"/>
  <c r="B44" i="50"/>
  <c r="C44" i="50" l="1"/>
</calcChain>
</file>

<file path=xl/sharedStrings.xml><?xml version="1.0" encoding="utf-8"?>
<sst xmlns="http://schemas.openxmlformats.org/spreadsheetml/2006/main" count="632" uniqueCount="205">
  <si>
    <t>BCA Metric</t>
  </si>
  <si>
    <t>Calendar Year</t>
  </si>
  <si>
    <t>Project Year</t>
  </si>
  <si>
    <t>Discounted (7%)</t>
  </si>
  <si>
    <t>Total Benefits</t>
  </si>
  <si>
    <t>Travel Time Savings</t>
  </si>
  <si>
    <t>Prevented Accidents</t>
  </si>
  <si>
    <t>Residual Value</t>
  </si>
  <si>
    <t>Environmental Emissions</t>
  </si>
  <si>
    <t>Operations &amp; Maintenance</t>
  </si>
  <si>
    <t>Project Cost</t>
  </si>
  <si>
    <t>Benefit Cost Ratio (BCR)</t>
  </si>
  <si>
    <t>TOTAL</t>
  </si>
  <si>
    <t>Useful Life of Project (years)</t>
  </si>
  <si>
    <t>Years of Analysis</t>
  </si>
  <si>
    <t>Project Phase</t>
  </si>
  <si>
    <t>Design</t>
  </si>
  <si>
    <t>Construction</t>
  </si>
  <si>
    <t>Total</t>
  </si>
  <si>
    <t>Start date</t>
  </si>
  <si>
    <t>End Date</t>
  </si>
  <si>
    <t>Source:</t>
  </si>
  <si>
    <t>Timeline Year</t>
  </si>
  <si>
    <t>Counter Measure</t>
  </si>
  <si>
    <t>CMF</t>
  </si>
  <si>
    <t>CMF ID</t>
  </si>
  <si>
    <t>Type</t>
  </si>
  <si>
    <t>Location</t>
  </si>
  <si>
    <t>Head-on</t>
  </si>
  <si>
    <t>Sideswipe</t>
  </si>
  <si>
    <t>Rear End</t>
  </si>
  <si>
    <t>Broadside</t>
  </si>
  <si>
    <t>Hit Object</t>
  </si>
  <si>
    <t>Overturned</t>
  </si>
  <si>
    <t>Other</t>
  </si>
  <si>
    <t>PDO</t>
  </si>
  <si>
    <t>Injury</t>
  </si>
  <si>
    <t>Fatal</t>
  </si>
  <si>
    <t xml:space="preserve">Intersection </t>
  </si>
  <si>
    <t>Mainline (per MVM)</t>
  </si>
  <si>
    <t>Mainline</t>
  </si>
  <si>
    <t>Ramps  (per MVM)</t>
  </si>
  <si>
    <t>Ramps</t>
  </si>
  <si>
    <t>Intersections (per MEV)</t>
  </si>
  <si>
    <t>Average number of vehicles per collision</t>
  </si>
  <si>
    <t>Average number of victims per injury collision</t>
  </si>
  <si>
    <t>California Highway Patrol Statewide Integrated Traffic Record System (SWITRS), 2013-2017.</t>
  </si>
  <si>
    <t>ADT, all locations</t>
  </si>
  <si>
    <t>No Build - Estimated Collisions*</t>
  </si>
  <si>
    <t>Build - Estimated Collision Reduction**</t>
  </si>
  <si>
    <t>Build - Estimated Reduction**</t>
  </si>
  <si>
    <t>Opening Year</t>
  </si>
  <si>
    <t>Crash data start</t>
  </si>
  <si>
    <t>Crash data end</t>
  </si>
  <si>
    <t>Crash data mid</t>
  </si>
  <si>
    <t>Crash data years</t>
  </si>
  <si>
    <t>Annual Growth Rate</t>
  </si>
  <si>
    <t>interpolated from TOAR forecast</t>
  </si>
  <si>
    <t>Mainline Segment</t>
  </si>
  <si>
    <t>Length</t>
  </si>
  <si>
    <t>2017 ADT</t>
  </si>
  <si>
    <t>Collisions by Severity</t>
  </si>
  <si>
    <t>Rate per MVM by Severity</t>
  </si>
  <si>
    <t>annual growth</t>
  </si>
  <si>
    <t>ADT Source:</t>
  </si>
  <si>
    <t>https://data.ca.gov/dataset/annual-average-daily-traffic-volumes</t>
  </si>
  <si>
    <t>Count Year</t>
  </si>
  <si>
    <t>Collision Source:</t>
  </si>
  <si>
    <t>Ramp</t>
  </si>
  <si>
    <t>2012 ADT</t>
  </si>
  <si>
    <t>Rate per MEV by Severity</t>
  </si>
  <si>
    <t>Intersection</t>
  </si>
  <si>
    <t>2030 ADT</t>
  </si>
  <si>
    <t>Traffic Analysis Report for the Interstate 680/State Route 4 Interchange Improvement Project, 2008</t>
  </si>
  <si>
    <t>PM 2.5</t>
  </si>
  <si>
    <t>PM 10</t>
  </si>
  <si>
    <t>CO2</t>
  </si>
  <si>
    <t>Caltrans Vehicle Operation Cost Parameters</t>
  </si>
  <si>
    <t>2019 ADT</t>
  </si>
  <si>
    <t>Nox</t>
  </si>
  <si>
    <t>So2</t>
  </si>
  <si>
    <t>Recommended Monitized Value(s)</t>
  </si>
  <si>
    <t>KABCO Level</t>
  </si>
  <si>
    <t>O-No Injury</t>
  </si>
  <si>
    <t>C-Possible Injury</t>
  </si>
  <si>
    <t>B-Non-Incapacitating</t>
  </si>
  <si>
    <t>A-Incapacitating</t>
  </si>
  <si>
    <t>K-Killed</t>
  </si>
  <si>
    <t>U-Injured (Severity Unknown)</t>
  </si>
  <si>
    <t># Accidents Reported (Unknown if injured)</t>
  </si>
  <si>
    <t>Crash Type</t>
  </si>
  <si>
    <t>Injury Crash</t>
  </si>
  <si>
    <t>Fatal Crash</t>
  </si>
  <si>
    <t>Table A-2: Property Damage Only (PDO) Crashes</t>
  </si>
  <si>
    <t>Table A-3: Value of Travel Time Savings</t>
  </si>
  <si>
    <t>Hourly Value</t>
  </si>
  <si>
    <t>Category</t>
  </si>
  <si>
    <t>In-Vehicle Travel</t>
  </si>
  <si>
    <t>Business</t>
  </si>
  <si>
    <t>All Purposes</t>
  </si>
  <si>
    <t>Commercial Vehilce Operators</t>
  </si>
  <si>
    <t>Truck Drivers</t>
  </si>
  <si>
    <t>Bus Drivers</t>
  </si>
  <si>
    <t>Transit Rail Operators</t>
  </si>
  <si>
    <t>Locomotive Engineers</t>
  </si>
  <si>
    <t>Table A-6 Damage costs for Emissions per metric ton</t>
  </si>
  <si>
    <t>Emissions</t>
  </si>
  <si>
    <t>Base Year of Nominal Dollar</t>
  </si>
  <si>
    <t>Recommended Values</t>
  </si>
  <si>
    <t>Table A-7 Inflation Adjustment Values</t>
  </si>
  <si>
    <t>Table A-4 Avg Vehicle Occupany Rates for Highway Passenger Vehicles</t>
  </si>
  <si>
    <t>Vehicle Type</t>
  </si>
  <si>
    <t>Average occupany</t>
  </si>
  <si>
    <t>Passenger Vehicles (Weekday Peak)</t>
  </si>
  <si>
    <t>Passenger Vehicles (Weekday Off-Peak)</t>
  </si>
  <si>
    <t>Passenger Vehicles (Weekend)</t>
  </si>
  <si>
    <t>Passenger Vehicles (All Travel)</t>
  </si>
  <si>
    <t>Table A-5 Vehicle Operating Costs</t>
  </si>
  <si>
    <t>Light Duty Vehicles</t>
  </si>
  <si>
    <t>Commercial Trucks</t>
  </si>
  <si>
    <t>ROW/Utilities</t>
  </si>
  <si>
    <t>Project Cost and Schedule</t>
  </si>
  <si>
    <t>Benefit Cost Analysis Summary</t>
  </si>
  <si>
    <t>Capital Expenditures</t>
  </si>
  <si>
    <t>Other Assumptions</t>
  </si>
  <si>
    <t>Design Year</t>
  </si>
  <si>
    <t>Prevented Accident Savings</t>
  </si>
  <si>
    <t>Collision Data</t>
  </si>
  <si>
    <t>Collision Rates</t>
  </si>
  <si>
    <t>Particulate Matter (PM 10)($2016); Used same factor as PM 2.5</t>
  </si>
  <si>
    <t>Discounted Project Costs(7%)</t>
  </si>
  <si>
    <t>Counter Measures</t>
  </si>
  <si>
    <t>2027 No Build</t>
  </si>
  <si>
    <t>2047 No Build</t>
  </si>
  <si>
    <t>Intersection Collisions</t>
  </si>
  <si>
    <t>Estimated Intersection ADT</t>
  </si>
  <si>
    <t>Build - Estimated Cost Reduction ($2019)</t>
  </si>
  <si>
    <t>Discounted (7%) estimated cost reduction</t>
  </si>
  <si>
    <t>Safety Benefits - Mainline</t>
  </si>
  <si>
    <t>Safety Benefits - Ramps</t>
  </si>
  <si>
    <t>Safety Benefits - Intersections</t>
  </si>
  <si>
    <t>Safety Benefits - All Facilities Summary</t>
  </si>
  <si>
    <t>2021*</t>
  </si>
  <si>
    <t>2022*</t>
  </si>
  <si>
    <t>2023*</t>
  </si>
  <si>
    <t>2024*</t>
  </si>
  <si>
    <t>2025*</t>
  </si>
  <si>
    <t>2026*</t>
  </si>
  <si>
    <t>* Adjustment value extrapolated</t>
  </si>
  <si>
    <t>Freeway Mainline Collisions</t>
  </si>
  <si>
    <t>Estimated Mainline ADT</t>
  </si>
  <si>
    <t>Estimated Ramp ADT</t>
  </si>
  <si>
    <t>Ramp Collisions</t>
  </si>
  <si>
    <t>California Highway Patrol Statewide Integrated Traffic Record System (SWITRS), 2015-2019.</t>
  </si>
  <si>
    <t>Average</t>
  </si>
  <si>
    <t>Personal*</t>
  </si>
  <si>
    <t>Appendix A Recommended Parameter Values (USDOT BCA Guidance 2022)</t>
  </si>
  <si>
    <t>Monetized Value ($2020)</t>
  </si>
  <si>
    <t>Monetized Value ($2020)/vehicle</t>
  </si>
  <si>
    <t>Recommnded Hourly Values of Travel Time Savings (2020 U.S.$person-hour)</t>
  </si>
  <si>
    <t>Per Mile ($2020)</t>
  </si>
  <si>
    <t>Multiplier to Adjust to Real $2020</t>
  </si>
  <si>
    <t>Amount (2020 $)</t>
  </si>
  <si>
    <t>Amount (2022 $)</t>
  </si>
  <si>
    <t>Planning</t>
  </si>
  <si>
    <t>Environmental</t>
  </si>
  <si>
    <t xml:space="preserve">Project Management </t>
  </si>
  <si>
    <t>Project Total Value (2020 $)</t>
  </si>
  <si>
    <t>Residual Value discounted to 2020 Net Present Value</t>
  </si>
  <si>
    <t>Net Present Value (2020 $)</t>
  </si>
  <si>
    <t>2020 $</t>
  </si>
  <si>
    <t xml:space="preserve"> FY 2022 MEGA GRANT PROGRAM</t>
  </si>
  <si>
    <t>Vehicle/Pedestrian</t>
  </si>
  <si>
    <t>Residual Value at year 2056</t>
  </si>
  <si>
    <t>Residual Value in 2056</t>
  </si>
  <si>
    <t>2016-2019 Collision Rates</t>
  </si>
  <si>
    <t>A</t>
  </si>
  <si>
    <t>B</t>
  </si>
  <si>
    <t>C</t>
  </si>
  <si>
    <t>D</t>
  </si>
  <si>
    <t>E</t>
  </si>
  <si>
    <t>F</t>
  </si>
  <si>
    <t>G</t>
  </si>
  <si>
    <t>H</t>
  </si>
  <si>
    <t>Highway Preservation and Rehabilitation - I-680 Stormwater Mitigation</t>
  </si>
  <si>
    <t>I-680 Alameda County Line to Waterfront Road</t>
  </si>
  <si>
    <t>Storm Water Mitigation</t>
  </si>
  <si>
    <t>Crash Types for Collisions with Wet Surface Conditions</t>
  </si>
  <si>
    <t>Wet Conditions</t>
  </si>
  <si>
    <t>Research</t>
  </si>
  <si>
    <t>Residual Value in 2057</t>
  </si>
  <si>
    <t>Residual Value at year 2057</t>
  </si>
  <si>
    <t>Build - Estimated Cost Reduction ($2020)</t>
  </si>
  <si>
    <t>Highway Preservation and Rehabilitation - I-680 from Alcosta Blvd to North of Diablo Rd</t>
  </si>
  <si>
    <t>Project Lifecycle (2022-2057)</t>
  </si>
  <si>
    <t>Highway Preservation and Rehabilitation - I-680 Bridge Crossings</t>
  </si>
  <si>
    <t>Project Lifecycle (2021-2057)</t>
  </si>
  <si>
    <t>Highway Preservation and Rehabilitation -Combined</t>
  </si>
  <si>
    <t>Highway Preservation and Rehabilitation - I-680 from 242 to Solano County Line</t>
  </si>
  <si>
    <t xml:space="preserve">Recapitalize 40% of total costs </t>
  </si>
  <si>
    <t>Remaining useful life at the end of 2057</t>
  </si>
  <si>
    <t>Recaptitalized project value</t>
  </si>
  <si>
    <t>Recapitalization Costs</t>
  </si>
  <si>
    <t>Remaining Life at the end of 2057</t>
  </si>
  <si>
    <t>Remaining life at the end of the analyis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</si>
</sst>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  <numFmt numFmtId="167" formatCode="&quot;$&quot;#,##0"/>
    <numFmt numFmtId="168" formatCode="0.000000"/>
    <numFmt numFmtId="169" formatCode="0.0%"/>
    <numFmt numFmtId="170" formatCode="_(&quot;$&quot;* #,##0_);_(&quot;$&quot;* \(#,##0\);_(&quot;$&quot;* &quot;-&quot;??_);_(@_)"/>
    <numFmt numFmtId="171" formatCode="_(* #,##0_);_(* \(#,##0\);_(* &quot;-&quot;??_);_(@_)"/>
    <numFmt numFmtId="172" formatCode="0.0000"/>
    <numFmt numFmtId="173" formatCode="#,##0.0_);\(#,##0.0\)"/>
    <numFmt numFmtId="174" formatCode="[$-409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4" fillId="0" borderId="0"/>
  </cellStyleXfs>
  <cellXfs count="65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Fill="1" applyBorder="1"/>
    <xf numFmtId="167" fontId="1" fillId="0" borderId="28" xfId="0" applyNumberFormat="1" applyFont="1" applyBorder="1"/>
    <xf numFmtId="167" fontId="1" fillId="0" borderId="22" xfId="0" applyNumberFormat="1" applyFont="1" applyBorder="1"/>
    <xf numFmtId="167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67" fontId="1" fillId="0" borderId="27" xfId="0" applyNumberFormat="1" applyFont="1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15" xfId="0" applyFill="1" applyBorder="1"/>
    <xf numFmtId="0" fontId="8" fillId="0" borderId="0" xfId="0" applyFont="1" applyBorder="1"/>
    <xf numFmtId="9" fontId="0" fillId="0" borderId="0" xfId="1" applyFont="1"/>
    <xf numFmtId="0" fontId="1" fillId="0" borderId="19" xfId="0" applyFont="1" applyBorder="1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0" fontId="0" fillId="0" borderId="17" xfId="0" applyFill="1" applyBorder="1"/>
    <xf numFmtId="0" fontId="1" fillId="0" borderId="0" xfId="0" applyFont="1" applyBorder="1"/>
    <xf numFmtId="170" fontId="0" fillId="0" borderId="0" xfId="7" applyNumberFormat="1" applyFont="1" applyFill="1" applyBorder="1"/>
    <xf numFmtId="167" fontId="1" fillId="0" borderId="0" xfId="0" applyNumberFormat="1" applyFont="1" applyBorder="1"/>
    <xf numFmtId="0" fontId="1" fillId="0" borderId="0" xfId="0" applyFont="1" applyFill="1" applyBorder="1" applyAlignment="1"/>
    <xf numFmtId="170" fontId="1" fillId="0" borderId="0" xfId="7" applyNumberFormat="1" applyFont="1" applyFill="1" applyBorder="1"/>
    <xf numFmtId="167" fontId="1" fillId="0" borderId="0" xfId="0" applyNumberFormat="1" applyFont="1" applyFill="1" applyBorder="1"/>
    <xf numFmtId="0" fontId="1" fillId="0" borderId="18" xfId="0" applyFont="1" applyBorder="1" applyAlignment="1">
      <alignment horizontal="center"/>
    </xf>
    <xf numFmtId="4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 indent="1"/>
    </xf>
    <xf numFmtId="169" fontId="0" fillId="0" borderId="0" xfId="0" applyNumberFormat="1"/>
    <xf numFmtId="166" fontId="0" fillId="0" borderId="0" xfId="0" applyNumberFormat="1"/>
    <xf numFmtId="173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center"/>
    </xf>
    <xf numFmtId="42" fontId="0" fillId="0" borderId="0" xfId="0" applyNumberFormat="1" applyAlignment="1">
      <alignment horizontal="right" indent="1"/>
    </xf>
    <xf numFmtId="166" fontId="0" fillId="0" borderId="0" xfId="0" applyNumberFormat="1" applyAlignment="1">
      <alignment horizontal="right" indent="2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42" fontId="0" fillId="0" borderId="0" xfId="0" applyNumberFormat="1" applyFill="1"/>
    <xf numFmtId="2" fontId="0" fillId="0" borderId="0" xfId="0" applyNumberFormat="1" applyFill="1" applyAlignment="1">
      <alignment horizontal="center" vertical="center"/>
    </xf>
    <xf numFmtId="42" fontId="0" fillId="0" borderId="0" xfId="0" applyNumberFormat="1" applyFill="1" applyAlignment="1">
      <alignment vertical="center"/>
    </xf>
    <xf numFmtId="42" fontId="3" fillId="0" borderId="0" xfId="0" applyNumberFormat="1" applyFont="1" applyFill="1"/>
    <xf numFmtId="169" fontId="0" fillId="0" borderId="0" xfId="0" applyNumberFormat="1" applyFill="1"/>
    <xf numFmtId="0" fontId="0" fillId="0" borderId="0" xfId="0" applyFont="1"/>
    <xf numFmtId="174" fontId="0" fillId="0" borderId="0" xfId="0" applyNumberFormat="1" applyBorder="1"/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167" fontId="1" fillId="0" borderId="37" xfId="0" applyNumberFormat="1" applyFont="1" applyBorder="1"/>
    <xf numFmtId="0" fontId="6" fillId="0" borderId="0" xfId="5" applyFill="1"/>
    <xf numFmtId="0" fontId="0" fillId="0" borderId="0" xfId="0"/>
    <xf numFmtId="167" fontId="0" fillId="0" borderId="0" xfId="0" applyNumberFormat="1"/>
    <xf numFmtId="0" fontId="1" fillId="0" borderId="0" xfId="0" applyFont="1" applyFill="1"/>
    <xf numFmtId="0" fontId="0" fillId="0" borderId="16" xfId="0" applyFill="1" applyBorder="1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54" xfId="0" applyNumberFormat="1" applyFont="1" applyBorder="1"/>
    <xf numFmtId="167" fontId="1" fillId="0" borderId="58" xfId="0" applyNumberFormat="1" applyFont="1" applyBorder="1"/>
    <xf numFmtId="2" fontId="0" fillId="0" borderId="0" xfId="0" applyNumberFormat="1"/>
    <xf numFmtId="170" fontId="1" fillId="0" borderId="0" xfId="7" applyNumberFormat="1" applyFont="1" applyBorder="1"/>
    <xf numFmtId="0" fontId="0" fillId="0" borderId="0" xfId="0" applyAlignment="1"/>
    <xf numFmtId="0" fontId="1" fillId="0" borderId="17" xfId="0" applyFont="1" applyBorder="1"/>
    <xf numFmtId="0" fontId="0" fillId="0" borderId="18" xfId="0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8" xfId="0" applyFont="1" applyBorder="1"/>
    <xf numFmtId="0" fontId="0" fillId="0" borderId="9" xfId="0" applyBorder="1"/>
    <xf numFmtId="0" fontId="0" fillId="6" borderId="17" xfId="0" applyFill="1" applyBorder="1"/>
    <xf numFmtId="0" fontId="1" fillId="6" borderId="15" xfId="0" applyFont="1" applyFill="1" applyBorder="1"/>
    <xf numFmtId="0" fontId="0" fillId="6" borderId="16" xfId="0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6" xfId="0" applyFont="1" applyFill="1" applyBorder="1" applyAlignment="1">
      <alignment horizontal="right"/>
    </xf>
    <xf numFmtId="0" fontId="1" fillId="0" borderId="17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8" fillId="0" borderId="0" xfId="0" applyFont="1"/>
    <xf numFmtId="42" fontId="6" fillId="0" borderId="0" xfId="5" applyNumberFormat="1" applyAlignment="1">
      <alignment vertical="center"/>
    </xf>
    <xf numFmtId="174" fontId="0" fillId="0" borderId="0" xfId="0" applyNumberFormat="1" applyFill="1" applyBorder="1"/>
    <xf numFmtId="17" fontId="1" fillId="0" borderId="0" xfId="0" applyNumberFormat="1" applyFont="1" applyBorder="1"/>
    <xf numFmtId="170" fontId="2" fillId="0" borderId="0" xfId="7" applyNumberFormat="1" applyFont="1" applyFill="1" applyBorder="1"/>
    <xf numFmtId="0" fontId="0" fillId="0" borderId="9" xfId="1" applyNumberFormat="1" applyFont="1" applyFill="1" applyBorder="1"/>
    <xf numFmtId="0" fontId="0" fillId="0" borderId="16" xfId="1" applyNumberFormat="1" applyFont="1" applyFill="1" applyBorder="1"/>
    <xf numFmtId="170" fontId="0" fillId="0" borderId="16" xfId="0" applyNumberFormat="1" applyFill="1" applyBorder="1"/>
    <xf numFmtId="170" fontId="0" fillId="0" borderId="16" xfId="7" applyNumberFormat="1" applyFont="1" applyFill="1" applyBorder="1"/>
    <xf numFmtId="0" fontId="0" fillId="0" borderId="18" xfId="0" applyFill="1" applyBorder="1" applyAlignment="1">
      <alignment wrapText="1"/>
    </xf>
    <xf numFmtId="44" fontId="0" fillId="0" borderId="19" xfId="7" applyFont="1" applyFill="1" applyBorder="1"/>
    <xf numFmtId="0" fontId="11" fillId="0" borderId="0" xfId="0" applyFont="1"/>
    <xf numFmtId="0" fontId="0" fillId="7" borderId="17" xfId="6" applyNumberFormat="1" applyFont="1" applyFill="1" applyBorder="1" applyAlignment="1">
      <alignment horizontal="center"/>
    </xf>
    <xf numFmtId="0" fontId="1" fillId="6" borderId="17" xfId="6" applyNumberFormat="1" applyFont="1" applyFill="1" applyBorder="1" applyAlignment="1">
      <alignment horizontal="center"/>
    </xf>
    <xf numFmtId="0" fontId="2" fillId="5" borderId="17" xfId="6" applyNumberFormat="1" applyFont="1" applyFill="1" applyBorder="1" applyAlignment="1">
      <alignment horizontal="center"/>
    </xf>
    <xf numFmtId="0" fontId="0" fillId="0" borderId="17" xfId="6" applyNumberFormat="1" applyFont="1" applyBorder="1" applyAlignment="1">
      <alignment horizontal="center"/>
    </xf>
    <xf numFmtId="0" fontId="0" fillId="7" borderId="15" xfId="6" applyNumberFormat="1" applyFont="1" applyFill="1" applyBorder="1" applyAlignment="1">
      <alignment horizontal="center"/>
    </xf>
    <xf numFmtId="0" fontId="1" fillId="6" borderId="15" xfId="6" applyNumberFormat="1" applyFont="1" applyFill="1" applyBorder="1" applyAlignment="1">
      <alignment horizontal="center"/>
    </xf>
    <xf numFmtId="0" fontId="2" fillId="5" borderId="15" xfId="6" applyNumberFormat="1" applyFont="1" applyFill="1" applyBorder="1" applyAlignment="1">
      <alignment horizontal="center"/>
    </xf>
    <xf numFmtId="0" fontId="0" fillId="0" borderId="15" xfId="6" applyNumberFormat="1" applyFont="1" applyBorder="1" applyAlignment="1">
      <alignment horizontal="center"/>
    </xf>
    <xf numFmtId="0" fontId="0" fillId="0" borderId="18" xfId="6" applyNumberFormat="1" applyFont="1" applyBorder="1" applyAlignment="1">
      <alignment horizontal="center"/>
    </xf>
    <xf numFmtId="0" fontId="0" fillId="0" borderId="20" xfId="6" applyNumberFormat="1" applyFont="1" applyBorder="1" applyAlignment="1">
      <alignment horizontal="center"/>
    </xf>
    <xf numFmtId="0" fontId="0" fillId="7" borderId="11" xfId="6" applyNumberFormat="1" applyFont="1" applyFill="1" applyBorder="1" applyAlignment="1">
      <alignment horizontal="center"/>
    </xf>
    <xf numFmtId="0" fontId="0" fillId="7" borderId="33" xfId="6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66" fontId="0" fillId="7" borderId="17" xfId="0" applyNumberFormat="1" applyFill="1" applyBorder="1"/>
    <xf numFmtId="166" fontId="0" fillId="7" borderId="15" xfId="0" applyNumberFormat="1" applyFill="1" applyBorder="1"/>
    <xf numFmtId="166" fontId="0" fillId="7" borderId="16" xfId="0" applyNumberFormat="1" applyFill="1" applyBorder="1"/>
    <xf numFmtId="0" fontId="0" fillId="0" borderId="19" xfId="0" applyFill="1" applyBorder="1"/>
    <xf numFmtId="0" fontId="0" fillId="0" borderId="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6" borderId="14" xfId="0" applyFill="1" applyBorder="1"/>
    <xf numFmtId="0" fontId="1" fillId="0" borderId="14" xfId="0" applyFont="1" applyBorder="1"/>
    <xf numFmtId="0" fontId="0" fillId="2" borderId="8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172" fontId="0" fillId="2" borderId="16" xfId="0" applyNumberFormat="1" applyFill="1" applyBorder="1" applyAlignment="1">
      <alignment horizontal="center"/>
    </xf>
    <xf numFmtId="172" fontId="0" fillId="2" borderId="19" xfId="0" applyNumberFormat="1" applyFill="1" applyBorder="1" applyAlignment="1">
      <alignment horizontal="center"/>
    </xf>
    <xf numFmtId="167" fontId="0" fillId="2" borderId="9" xfId="0" applyNumberFormat="1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167" fontId="0" fillId="2" borderId="19" xfId="0" applyNumberFormat="1" applyFill="1" applyBorder="1" applyAlignment="1">
      <alignment horizontal="center"/>
    </xf>
    <xf numFmtId="0" fontId="0" fillId="0" borderId="20" xfId="0" applyFill="1" applyBorder="1"/>
    <xf numFmtId="167" fontId="0" fillId="0" borderId="0" xfId="0" applyNumberFormat="1" applyFill="1"/>
    <xf numFmtId="0" fontId="0" fillId="7" borderId="16" xfId="0" applyFill="1" applyBorder="1"/>
    <xf numFmtId="0" fontId="0" fillId="7" borderId="17" xfId="0" applyFill="1" applyBorder="1"/>
    <xf numFmtId="166" fontId="0" fillId="6" borderId="17" xfId="0" applyNumberFormat="1" applyFill="1" applyBorder="1"/>
    <xf numFmtId="166" fontId="0" fillId="0" borderId="17" xfId="0" applyNumberFormat="1" applyFill="1" applyBorder="1"/>
    <xf numFmtId="166" fontId="0" fillId="0" borderId="20" xfId="0" applyNumberFormat="1" applyFill="1" applyBorder="1"/>
    <xf numFmtId="1" fontId="0" fillId="7" borderId="48" xfId="0" applyNumberFormat="1" applyFill="1" applyBorder="1"/>
    <xf numFmtId="1" fontId="0" fillId="6" borderId="48" xfId="0" applyNumberFormat="1" applyFill="1" applyBorder="1"/>
    <xf numFmtId="1" fontId="0" fillId="0" borderId="48" xfId="0" applyNumberFormat="1" applyFill="1" applyBorder="1"/>
    <xf numFmtId="1" fontId="0" fillId="0" borderId="51" xfId="0" applyNumberFormat="1" applyFill="1" applyBorder="1"/>
    <xf numFmtId="0" fontId="0" fillId="7" borderId="13" xfId="0" applyFill="1" applyBorder="1"/>
    <xf numFmtId="166" fontId="0" fillId="6" borderId="15" xfId="0" applyNumberFormat="1" applyFill="1" applyBorder="1"/>
    <xf numFmtId="166" fontId="0" fillId="6" borderId="16" xfId="0" applyNumberFormat="1" applyFill="1" applyBorder="1"/>
    <xf numFmtId="0" fontId="0" fillId="7" borderId="15" xfId="0" applyFill="1" applyBorder="1"/>
    <xf numFmtId="166" fontId="0" fillId="0" borderId="15" xfId="0" applyNumberFormat="1" applyFill="1" applyBorder="1"/>
    <xf numFmtId="166" fontId="0" fillId="0" borderId="18" xfId="0" applyNumberFormat="1" applyFill="1" applyBorder="1"/>
    <xf numFmtId="0" fontId="0" fillId="7" borderId="30" xfId="6" applyNumberFormat="1" applyFont="1" applyFill="1" applyBorder="1" applyAlignment="1">
      <alignment horizontal="center"/>
    </xf>
    <xf numFmtId="0" fontId="0" fillId="7" borderId="14" xfId="6" applyNumberFormat="1" applyFont="1" applyFill="1" applyBorder="1" applyAlignment="1">
      <alignment horizontal="center"/>
    </xf>
    <xf numFmtId="0" fontId="1" fillId="6" borderId="14" xfId="6" applyNumberFormat="1" applyFont="1" applyFill="1" applyBorder="1" applyAlignment="1">
      <alignment horizontal="center"/>
    </xf>
    <xf numFmtId="0" fontId="2" fillId="5" borderId="14" xfId="6" applyNumberFormat="1" applyFont="1" applyFill="1" applyBorder="1" applyAlignment="1">
      <alignment horizontal="center"/>
    </xf>
    <xf numFmtId="0" fontId="0" fillId="0" borderId="14" xfId="6" applyNumberFormat="1" applyFont="1" applyBorder="1" applyAlignment="1">
      <alignment horizontal="center"/>
    </xf>
    <xf numFmtId="0" fontId="0" fillId="0" borderId="59" xfId="6" applyNumberFormat="1" applyFont="1" applyBorder="1" applyAlignment="1">
      <alignment horizontal="center"/>
    </xf>
    <xf numFmtId="167" fontId="0" fillId="7" borderId="17" xfId="0" applyNumberFormat="1" applyFill="1" applyBorder="1"/>
    <xf numFmtId="167" fontId="0" fillId="6" borderId="17" xfId="0" applyNumberFormat="1" applyFill="1" applyBorder="1"/>
    <xf numFmtId="167" fontId="0" fillId="0" borderId="17" xfId="0" applyNumberFormat="1" applyFill="1" applyBorder="1"/>
    <xf numFmtId="167" fontId="0" fillId="7" borderId="33" xfId="0" applyNumberFormat="1" applyFill="1" applyBorder="1"/>
    <xf numFmtId="167" fontId="0" fillId="7" borderId="11" xfId="0" applyNumberFormat="1" applyFill="1" applyBorder="1"/>
    <xf numFmtId="167" fontId="0" fillId="7" borderId="15" xfId="0" applyNumberFormat="1" applyFill="1" applyBorder="1"/>
    <xf numFmtId="167" fontId="0" fillId="6" borderId="15" xfId="0" applyNumberFormat="1" applyFill="1" applyBorder="1"/>
    <xf numFmtId="167" fontId="0" fillId="0" borderId="15" xfId="0" applyNumberFormat="1" applyFill="1" applyBorder="1"/>
    <xf numFmtId="167" fontId="0" fillId="0" borderId="18" xfId="0" applyNumberFormat="1" applyFill="1" applyBorder="1"/>
    <xf numFmtId="167" fontId="0" fillId="0" borderId="20" xfId="0" applyNumberFormat="1" applyFill="1" applyBorder="1"/>
    <xf numFmtId="0" fontId="0" fillId="0" borderId="13" xfId="0" applyFill="1" applyBorder="1"/>
    <xf numFmtId="2" fontId="0" fillId="0" borderId="0" xfId="0" applyNumberFormat="1" applyBorder="1"/>
    <xf numFmtId="0" fontId="0" fillId="0" borderId="21" xfId="0" applyFill="1" applyBorder="1"/>
    <xf numFmtId="167" fontId="0" fillId="0" borderId="16" xfId="0" applyNumberFormat="1" applyFill="1" applyBorder="1"/>
    <xf numFmtId="167" fontId="0" fillId="0" borderId="19" xfId="0" applyNumberFormat="1" applyFill="1" applyBorder="1"/>
    <xf numFmtId="166" fontId="0" fillId="0" borderId="16" xfId="0" applyNumberFormat="1" applyFill="1" applyBorder="1"/>
    <xf numFmtId="166" fontId="0" fillId="0" borderId="19" xfId="0" applyNumberFormat="1" applyFill="1" applyBorder="1"/>
    <xf numFmtId="167" fontId="0" fillId="7" borderId="16" xfId="0" applyNumberFormat="1" applyFill="1" applyBorder="1"/>
    <xf numFmtId="167" fontId="0" fillId="6" borderId="16" xfId="0" applyNumberFormat="1" applyFill="1" applyBorder="1"/>
    <xf numFmtId="1" fontId="0" fillId="7" borderId="52" xfId="0" applyNumberFormat="1" applyFill="1" applyBorder="1"/>
    <xf numFmtId="166" fontId="0" fillId="7" borderId="11" xfId="0" applyNumberFormat="1" applyFill="1" applyBorder="1"/>
    <xf numFmtId="166" fontId="0" fillId="7" borderId="33" xfId="0" applyNumberFormat="1" applyFill="1" applyBorder="1"/>
    <xf numFmtId="166" fontId="0" fillId="7" borderId="12" xfId="0" applyNumberFormat="1" applyFill="1" applyBorder="1"/>
    <xf numFmtId="0" fontId="0" fillId="7" borderId="11" xfId="0" applyFill="1" applyBorder="1"/>
    <xf numFmtId="0" fontId="0" fillId="7" borderId="33" xfId="0" applyFill="1" applyBorder="1"/>
    <xf numFmtId="0" fontId="0" fillId="7" borderId="12" xfId="0" applyFill="1" applyBorder="1"/>
    <xf numFmtId="167" fontId="0" fillId="7" borderId="12" xfId="0" applyNumberFormat="1" applyFill="1" applyBorder="1"/>
    <xf numFmtId="0" fontId="0" fillId="7" borderId="31" xfId="0" applyFill="1" applyBorder="1"/>
    <xf numFmtId="0" fontId="0" fillId="6" borderId="15" xfId="0" applyFill="1" applyBorder="1"/>
    <xf numFmtId="0" fontId="0" fillId="6" borderId="13" xfId="0" applyFill="1" applyBorder="1"/>
    <xf numFmtId="170" fontId="0" fillId="0" borderId="16" xfId="0" applyNumberFormat="1" applyFont="1" applyBorder="1" applyAlignment="1">
      <alignment horizontal="left"/>
    </xf>
    <xf numFmtId="170" fontId="0" fillId="0" borderId="16" xfId="0" applyNumberFormat="1" applyFont="1" applyBorder="1"/>
    <xf numFmtId="170" fontId="0" fillId="0" borderId="12" xfId="0" applyNumberFormat="1" applyFont="1" applyBorder="1" applyAlignment="1">
      <alignment horizontal="left"/>
    </xf>
    <xf numFmtId="170" fontId="0" fillId="0" borderId="31" xfId="0" applyNumberFormat="1" applyFont="1" applyBorder="1" applyAlignment="1">
      <alignment horizontal="left"/>
    </xf>
    <xf numFmtId="170" fontId="0" fillId="0" borderId="13" xfId="0" applyNumberFormat="1" applyFont="1" applyBorder="1" applyAlignment="1">
      <alignment horizontal="left"/>
    </xf>
    <xf numFmtId="170" fontId="0" fillId="0" borderId="13" xfId="0" applyNumberFormat="1" applyFont="1" applyBorder="1" applyAlignment="1">
      <alignment horizontal="right"/>
    </xf>
    <xf numFmtId="0" fontId="0" fillId="0" borderId="52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0" fillId="0" borderId="48" xfId="0" applyBorder="1"/>
    <xf numFmtId="0" fontId="0" fillId="0" borderId="60" xfId="0" applyBorder="1"/>
    <xf numFmtId="170" fontId="0" fillId="0" borderId="29" xfId="0" applyNumberFormat="1" applyFont="1" applyBorder="1" applyAlignment="1">
      <alignment horizontal="right"/>
    </xf>
    <xf numFmtId="170" fontId="0" fillId="0" borderId="40" xfId="0" applyNumberFormat="1" applyFont="1" applyBorder="1" applyAlignment="1">
      <alignment horizontal="right"/>
    </xf>
    <xf numFmtId="0" fontId="1" fillId="3" borderId="48" xfId="0" applyFont="1" applyFill="1" applyBorder="1"/>
    <xf numFmtId="170" fontId="1" fillId="3" borderId="13" xfId="0" applyNumberFormat="1" applyFont="1" applyFill="1" applyBorder="1" applyAlignment="1">
      <alignment horizontal="left"/>
    </xf>
    <xf numFmtId="170" fontId="1" fillId="3" borderId="16" xfId="0" applyNumberFormat="1" applyFont="1" applyFill="1" applyBorder="1" applyAlignment="1">
      <alignment horizontal="left"/>
    </xf>
    <xf numFmtId="0" fontId="1" fillId="3" borderId="53" xfId="0" applyFont="1" applyFill="1" applyBorder="1"/>
    <xf numFmtId="2" fontId="1" fillId="3" borderId="45" xfId="0" applyNumberFormat="1" applyFont="1" applyFill="1" applyBorder="1" applyAlignment="1">
      <alignment horizontal="center"/>
    </xf>
    <xf numFmtId="2" fontId="1" fillId="3" borderId="38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167" fontId="0" fillId="7" borderId="14" xfId="0" applyNumberFormat="1" applyFont="1" applyFill="1" applyBorder="1"/>
    <xf numFmtId="167" fontId="0" fillId="7" borderId="48" xfId="0" applyNumberFormat="1" applyFont="1" applyFill="1" applyBorder="1"/>
    <xf numFmtId="167" fontId="0" fillId="6" borderId="14" xfId="0" applyNumberFormat="1" applyFont="1" applyFill="1" applyBorder="1"/>
    <xf numFmtId="167" fontId="0" fillId="6" borderId="48" xfId="0" applyNumberFormat="1" applyFont="1" applyFill="1" applyBorder="1"/>
    <xf numFmtId="167" fontId="0" fillId="0" borderId="48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9" fontId="0" fillId="0" borderId="19" xfId="1" applyFont="1" applyBorder="1"/>
    <xf numFmtId="0" fontId="0" fillId="0" borderId="1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168" fontId="0" fillId="0" borderId="17" xfId="0" applyNumberFormat="1" applyFont="1" applyFill="1" applyBorder="1"/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Border="1"/>
    <xf numFmtId="0" fontId="0" fillId="0" borderId="16" xfId="0" applyFont="1" applyBorder="1"/>
    <xf numFmtId="2" fontId="0" fillId="0" borderId="17" xfId="0" applyNumberFormat="1" applyFont="1" applyFill="1" applyBorder="1" applyAlignment="1">
      <alignment horizontal="right"/>
    </xf>
    <xf numFmtId="0" fontId="0" fillId="0" borderId="9" xfId="0" applyFont="1" applyBorder="1"/>
    <xf numFmtId="0" fontId="0" fillId="0" borderId="0" xfId="0" applyFont="1" applyFill="1"/>
    <xf numFmtId="0" fontId="0" fillId="0" borderId="0" xfId="0" applyFont="1" applyBorder="1"/>
    <xf numFmtId="0" fontId="12" fillId="0" borderId="0" xfId="2" applyFont="1"/>
    <xf numFmtId="0" fontId="13" fillId="0" borderId="3" xfId="2" applyFont="1" applyBorder="1" applyAlignment="1"/>
    <xf numFmtId="0" fontId="13" fillId="0" borderId="9" xfId="2" applyFont="1" applyBorder="1" applyAlignment="1"/>
    <xf numFmtId="0" fontId="0" fillId="0" borderId="0" xfId="0" applyFont="1" applyAlignment="1"/>
    <xf numFmtId="0" fontId="13" fillId="0" borderId="24" xfId="2" applyFont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2" fillId="0" borderId="15" xfId="2" applyFont="1" applyFill="1" applyBorder="1" applyAlignment="1">
      <alignment wrapText="1"/>
    </xf>
    <xf numFmtId="0" fontId="12" fillId="0" borderId="17" xfId="2" applyFont="1" applyFill="1" applyBorder="1"/>
    <xf numFmtId="171" fontId="12" fillId="0" borderId="17" xfId="6" applyNumberFormat="1" applyFont="1" applyFill="1" applyBorder="1" applyAlignment="1">
      <alignment horizontal="center"/>
    </xf>
    <xf numFmtId="3" fontId="12" fillId="0" borderId="33" xfId="2" applyNumberFormat="1" applyFont="1" applyFill="1" applyBorder="1"/>
    <xf numFmtId="3" fontId="0" fillId="0" borderId="12" xfId="0" applyNumberFormat="1" applyFont="1" applyFill="1" applyBorder="1"/>
    <xf numFmtId="3" fontId="12" fillId="0" borderId="17" xfId="2" applyNumberFormat="1" applyFont="1" applyFill="1" applyBorder="1"/>
    <xf numFmtId="3" fontId="0" fillId="0" borderId="16" xfId="0" applyNumberFormat="1" applyFont="1" applyFill="1" applyBorder="1"/>
    <xf numFmtId="0" fontId="12" fillId="0" borderId="18" xfId="2" applyFont="1" applyFill="1" applyBorder="1" applyAlignment="1">
      <alignment wrapText="1"/>
    </xf>
    <xf numFmtId="0" fontId="12" fillId="0" borderId="20" xfId="2" applyFont="1" applyFill="1" applyBorder="1"/>
    <xf numFmtId="171" fontId="12" fillId="0" borderId="20" xfId="6" applyNumberFormat="1" applyFont="1" applyFill="1" applyBorder="1" applyAlignment="1">
      <alignment horizontal="center"/>
    </xf>
    <xf numFmtId="171" fontId="12" fillId="0" borderId="25" xfId="6" applyNumberFormat="1" applyFont="1" applyFill="1" applyBorder="1" applyAlignment="1">
      <alignment horizontal="center"/>
    </xf>
    <xf numFmtId="0" fontId="13" fillId="0" borderId="44" xfId="2" applyFont="1" applyFill="1" applyBorder="1" applyAlignment="1">
      <alignment horizontal="right" wrapText="1"/>
    </xf>
    <xf numFmtId="2" fontId="12" fillId="0" borderId="41" xfId="2" applyNumberFormat="1" applyFont="1" applyFill="1" applyBorder="1"/>
    <xf numFmtId="0" fontId="12" fillId="0" borderId="41" xfId="2" applyFont="1" applyFill="1" applyBorder="1"/>
    <xf numFmtId="164" fontId="12" fillId="0" borderId="41" xfId="2" applyNumberFormat="1" applyFont="1" applyFill="1" applyBorder="1"/>
    <xf numFmtId="164" fontId="12" fillId="0" borderId="38" xfId="2" applyNumberFormat="1" applyFont="1" applyFill="1" applyBorder="1"/>
    <xf numFmtId="3" fontId="0" fillId="0" borderId="41" xfId="0" applyNumberFormat="1" applyFont="1" applyBorder="1"/>
    <xf numFmtId="3" fontId="0" fillId="0" borderId="38" xfId="0" applyNumberFormat="1" applyFont="1" applyBorder="1"/>
    <xf numFmtId="0" fontId="12" fillId="0" borderId="47" xfId="2" applyFont="1" applyFill="1" applyBorder="1" applyAlignment="1">
      <alignment wrapText="1"/>
    </xf>
    <xf numFmtId="0" fontId="6" fillId="0" borderId="0" xfId="5" applyFont="1"/>
    <xf numFmtId="0" fontId="12" fillId="0" borderId="0" xfId="2" applyFont="1" applyFill="1" applyBorder="1"/>
    <xf numFmtId="164" fontId="12" fillId="0" borderId="0" xfId="2" applyNumberFormat="1" applyFont="1" applyFill="1" applyBorder="1"/>
    <xf numFmtId="1" fontId="12" fillId="0" borderId="0" xfId="2" applyNumberFormat="1" applyFont="1" applyFill="1" applyBorder="1"/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43" fontId="12" fillId="0" borderId="0" xfId="2" applyNumberFormat="1" applyFont="1" applyFill="1" applyBorder="1"/>
    <xf numFmtId="3" fontId="12" fillId="0" borderId="10" xfId="2" applyNumberFormat="1" applyFont="1" applyFill="1" applyBorder="1"/>
    <xf numFmtId="3" fontId="0" fillId="0" borderId="17" xfId="0" applyNumberFormat="1" applyFont="1" applyFill="1" applyBorder="1"/>
    <xf numFmtId="0" fontId="13" fillId="0" borderId="34" xfId="2" applyFont="1" applyFill="1" applyBorder="1" applyAlignment="1">
      <alignment wrapText="1"/>
    </xf>
    <xf numFmtId="171" fontId="12" fillId="0" borderId="41" xfId="6" applyNumberFormat="1" applyFont="1" applyFill="1" applyBorder="1" applyAlignment="1">
      <alignment horizontal="right"/>
    </xf>
    <xf numFmtId="2" fontId="12" fillId="0" borderId="0" xfId="2" applyNumberFormat="1" applyFont="1" applyFill="1" applyBorder="1"/>
    <xf numFmtId="0" fontId="0" fillId="0" borderId="10" xfId="0" applyFont="1" applyBorder="1" applyAlignment="1"/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164" fontId="12" fillId="0" borderId="10" xfId="2" applyNumberFormat="1" applyFont="1" applyFill="1" applyBorder="1"/>
    <xf numFmtId="164" fontId="12" fillId="0" borderId="9" xfId="2" applyNumberFormat="1" applyFont="1" applyFill="1" applyBorder="1"/>
    <xf numFmtId="164" fontId="12" fillId="0" borderId="17" xfId="2" applyNumberFormat="1" applyFont="1" applyFill="1" applyBorder="1"/>
    <xf numFmtId="164" fontId="12" fillId="0" borderId="16" xfId="2" applyNumberFormat="1" applyFont="1" applyFill="1" applyBorder="1"/>
    <xf numFmtId="0" fontId="13" fillId="0" borderId="45" xfId="2" applyFont="1" applyFill="1" applyBorder="1" applyAlignment="1">
      <alignment wrapText="1"/>
    </xf>
    <xf numFmtId="171" fontId="12" fillId="0" borderId="41" xfId="6" applyNumberFormat="1" applyFont="1" applyFill="1" applyBorder="1"/>
    <xf numFmtId="0" fontId="13" fillId="0" borderId="22" xfId="2" applyFont="1" applyFill="1" applyBorder="1" applyAlignment="1">
      <alignment horizontal="right" wrapText="1"/>
    </xf>
    <xf numFmtId="3" fontId="0" fillId="0" borderId="24" xfId="0" applyNumberFormat="1" applyFont="1" applyBorder="1"/>
    <xf numFmtId="3" fontId="0" fillId="0" borderId="39" xfId="0" applyNumberFormat="1" applyFont="1" applyBorder="1"/>
    <xf numFmtId="43" fontId="0" fillId="0" borderId="0" xfId="0" applyNumberFormat="1" applyFont="1"/>
    <xf numFmtId="0" fontId="11" fillId="0" borderId="8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/>
    <xf numFmtId="3" fontId="11" fillId="0" borderId="12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3" fontId="11" fillId="0" borderId="17" xfId="0" applyNumberFormat="1" applyFont="1" applyBorder="1"/>
    <xf numFmtId="0" fontId="11" fillId="0" borderId="17" xfId="0" applyFont="1" applyBorder="1"/>
    <xf numFmtId="0" fontId="0" fillId="0" borderId="17" xfId="0" applyFont="1" applyFill="1" applyBorder="1"/>
    <xf numFmtId="0" fontId="6" fillId="0" borderId="17" xfId="5" applyFont="1" applyFill="1" applyBorder="1"/>
    <xf numFmtId="0" fontId="0" fillId="0" borderId="20" xfId="0" applyFont="1" applyBorder="1"/>
    <xf numFmtId="0" fontId="0" fillId="0" borderId="20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9" fontId="0" fillId="0" borderId="17" xfId="1" applyFont="1" applyFill="1" applyBorder="1"/>
    <xf numFmtId="9" fontId="0" fillId="0" borderId="16" xfId="0" applyNumberFormat="1" applyFont="1" applyFill="1" applyBorder="1"/>
    <xf numFmtId="0" fontId="0" fillId="0" borderId="22" xfId="0" applyFont="1" applyFill="1" applyBorder="1" applyAlignment="1">
      <alignment wrapText="1"/>
    </xf>
    <xf numFmtId="9" fontId="0" fillId="0" borderId="19" xfId="0" applyNumberFormat="1" applyFont="1" applyFill="1" applyBorder="1"/>
    <xf numFmtId="0" fontId="0" fillId="0" borderId="16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56" xfId="0" applyFont="1" applyFill="1" applyBorder="1"/>
    <xf numFmtId="0" fontId="0" fillId="0" borderId="57" xfId="0" applyFont="1" applyFill="1" applyBorder="1" applyAlignment="1">
      <alignment wrapText="1"/>
    </xf>
    <xf numFmtId="0" fontId="0" fillId="5" borderId="0" xfId="0" applyFill="1" applyBorder="1" applyAlignment="1"/>
    <xf numFmtId="0" fontId="0" fillId="5" borderId="0" xfId="0" applyFill="1" applyBorder="1"/>
    <xf numFmtId="170" fontId="0" fillId="5" borderId="0" xfId="0" applyNumberFormat="1" applyFont="1" applyFill="1" applyBorder="1" applyAlignment="1">
      <alignment horizontal="left"/>
    </xf>
    <xf numFmtId="170" fontId="0" fillId="5" borderId="0" xfId="0" applyNumberFormat="1" applyFont="1" applyFill="1" applyBorder="1" applyAlignment="1">
      <alignment horizontal="right"/>
    </xf>
    <xf numFmtId="170" fontId="0" fillId="5" borderId="0" xfId="0" applyNumberFormat="1" applyFont="1" applyFill="1" applyBorder="1"/>
    <xf numFmtId="170" fontId="1" fillId="5" borderId="0" xfId="0" applyNumberFormat="1" applyFont="1" applyFill="1" applyBorder="1" applyAlignment="1">
      <alignment horizontal="left"/>
    </xf>
    <xf numFmtId="2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0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/>
    </xf>
    <xf numFmtId="0" fontId="11" fillId="0" borderId="17" xfId="0" applyFont="1" applyFill="1" applyBorder="1"/>
    <xf numFmtId="1" fontId="0" fillId="0" borderId="0" xfId="0" applyNumberFormat="1"/>
    <xf numFmtId="165" fontId="0" fillId="0" borderId="0" xfId="0" applyNumberFormat="1"/>
    <xf numFmtId="169" fontId="0" fillId="0" borderId="0" xfId="1" applyNumberFormat="1" applyFont="1"/>
    <xf numFmtId="0" fontId="0" fillId="0" borderId="0" xfId="0" applyAlignment="1"/>
    <xf numFmtId="6" fontId="0" fillId="8" borderId="16" xfId="0" applyNumberFormat="1" applyFill="1" applyBorder="1"/>
    <xf numFmtId="6" fontId="0" fillId="8" borderId="19" xfId="0" applyNumberFormat="1" applyFill="1" applyBorder="1"/>
    <xf numFmtId="0" fontId="0" fillId="8" borderId="16" xfId="0" applyFill="1" applyBorder="1"/>
    <xf numFmtId="8" fontId="0" fillId="8" borderId="16" xfId="0" applyNumberFormat="1" applyFill="1" applyBorder="1"/>
    <xf numFmtId="8" fontId="0" fillId="8" borderId="19" xfId="0" applyNumberFormat="1" applyFill="1" applyBorder="1"/>
    <xf numFmtId="0" fontId="0" fillId="8" borderId="19" xfId="0" applyFill="1" applyBorder="1"/>
    <xf numFmtId="170" fontId="0" fillId="4" borderId="0" xfId="7" applyNumberFormat="1" applyFont="1" applyFill="1" applyBorder="1"/>
    <xf numFmtId="167" fontId="0" fillId="4" borderId="14" xfId="0" applyNumberFormat="1" applyFill="1" applyBorder="1" applyAlignment="1">
      <alignment horizontal="center"/>
    </xf>
    <xf numFmtId="167" fontId="0" fillId="4" borderId="6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167" fontId="0" fillId="4" borderId="17" xfId="0" applyNumberFormat="1" applyFill="1" applyBorder="1" applyAlignment="1">
      <alignment horizontal="center"/>
    </xf>
    <xf numFmtId="167" fontId="0" fillId="4" borderId="20" xfId="0" applyNumberFormat="1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167" fontId="0" fillId="4" borderId="16" xfId="0" applyNumberFormat="1" applyFill="1" applyBorder="1" applyAlignment="1">
      <alignment horizontal="center"/>
    </xf>
    <xf numFmtId="170" fontId="0" fillId="2" borderId="8" xfId="7" applyNumberFormat="1" applyFont="1" applyFill="1" applyBorder="1" applyAlignment="1">
      <alignment horizontal="left"/>
    </xf>
    <xf numFmtId="170" fontId="0" fillId="2" borderId="15" xfId="7" applyNumberFormat="1" applyFont="1" applyFill="1" applyBorder="1" applyAlignment="1">
      <alignment horizontal="left"/>
    </xf>
    <xf numFmtId="170" fontId="0" fillId="2" borderId="18" xfId="7" applyNumberFormat="1" applyFont="1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167" fontId="0" fillId="8" borderId="17" xfId="0" applyNumberFormat="1" applyFill="1" applyBorder="1" applyAlignment="1">
      <alignment horizontal="center"/>
    </xf>
    <xf numFmtId="0" fontId="0" fillId="8" borderId="7" xfId="0" applyFill="1" applyBorder="1" applyAlignment="1">
      <alignment horizontal="left"/>
    </xf>
    <xf numFmtId="167" fontId="0" fillId="8" borderId="16" xfId="0" applyNumberFormat="1" applyFill="1" applyBorder="1" applyAlignment="1">
      <alignment horizontal="center"/>
    </xf>
    <xf numFmtId="0" fontId="0" fillId="4" borderId="15" xfId="0" applyFill="1" applyBorder="1" applyAlignment="1">
      <alignment horizontal="left" wrapText="1"/>
    </xf>
    <xf numFmtId="0" fontId="0" fillId="4" borderId="17" xfId="0" applyFill="1" applyBorder="1" applyAlignment="1">
      <alignment horizontal="center"/>
    </xf>
    <xf numFmtId="0" fontId="0" fillId="8" borderId="15" xfId="0" applyFill="1" applyBorder="1" applyAlignment="1">
      <alignment horizontal="left" wrapText="1"/>
    </xf>
    <xf numFmtId="0" fontId="0" fillId="8" borderId="17" xfId="0" applyFill="1" applyBorder="1" applyAlignment="1">
      <alignment horizontal="center"/>
    </xf>
    <xf numFmtId="172" fontId="0" fillId="8" borderId="25" xfId="0" applyNumberFormat="1" applyFill="1" applyBorder="1" applyAlignment="1">
      <alignment horizontal="center"/>
    </xf>
    <xf numFmtId="171" fontId="11" fillId="2" borderId="10" xfId="6" applyNumberFormat="1" applyFont="1" applyFill="1" applyBorder="1"/>
    <xf numFmtId="171" fontId="11" fillId="2" borderId="0" xfId="6" applyNumberFormat="1" applyFont="1" applyFill="1"/>
    <xf numFmtId="9" fontId="0" fillId="0" borderId="24" xfId="1" applyFont="1" applyFill="1" applyBorder="1"/>
    <xf numFmtId="9" fontId="0" fillId="0" borderId="39" xfId="0" applyNumberFormat="1" applyFont="1" applyFill="1" applyBorder="1"/>
    <xf numFmtId="167" fontId="0" fillId="6" borderId="11" xfId="0" applyNumberFormat="1" applyFill="1" applyBorder="1"/>
    <xf numFmtId="167" fontId="0" fillId="6" borderId="33" xfId="0" applyNumberFormat="1" applyFill="1" applyBorder="1"/>
    <xf numFmtId="0" fontId="0" fillId="0" borderId="25" xfId="6" applyNumberFormat="1" applyFont="1" applyBorder="1" applyAlignment="1">
      <alignment horizontal="center"/>
    </xf>
    <xf numFmtId="0" fontId="2" fillId="5" borderId="7" xfId="6" applyNumberFormat="1" applyFont="1" applyFill="1" applyBorder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1" fillId="0" borderId="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67" fontId="2" fillId="0" borderId="20" xfId="6" applyNumberFormat="1" applyFont="1" applyFill="1" applyBorder="1" applyAlignment="1">
      <alignment horizontal="right"/>
    </xf>
    <xf numFmtId="167" fontId="7" fillId="0" borderId="17" xfId="7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174" fontId="0" fillId="0" borderId="17" xfId="0" applyNumberFormat="1" applyFill="1" applyBorder="1" applyAlignment="1">
      <alignment horizontal="right"/>
    </xf>
    <xf numFmtId="170" fontId="0" fillId="0" borderId="17" xfId="7" applyNumberFormat="1" applyFont="1" applyBorder="1"/>
    <xf numFmtId="170" fontId="0" fillId="0" borderId="20" xfId="7" applyNumberFormat="1" applyFont="1" applyBorder="1"/>
    <xf numFmtId="0" fontId="1" fillId="0" borderId="11" xfId="0" applyFont="1" applyBorder="1" applyAlignment="1">
      <alignment horizontal="right"/>
    </xf>
    <xf numFmtId="170" fontId="0" fillId="0" borderId="33" xfId="7" applyNumberFormat="1" applyFont="1" applyBorder="1"/>
    <xf numFmtId="170" fontId="0" fillId="0" borderId="14" xfId="7" applyNumberFormat="1" applyFont="1" applyBorder="1"/>
    <xf numFmtId="0" fontId="1" fillId="0" borderId="3" xfId="0" applyFont="1" applyBorder="1"/>
    <xf numFmtId="17" fontId="1" fillId="0" borderId="14" xfId="0" applyNumberFormat="1" applyFont="1" applyBorder="1"/>
    <xf numFmtId="167" fontId="1" fillId="0" borderId="14" xfId="7" applyNumberFormat="1" applyFont="1" applyFill="1" applyBorder="1" applyAlignment="1">
      <alignment horizontal="right"/>
    </xf>
    <xf numFmtId="167" fontId="1" fillId="0" borderId="59" xfId="7" applyNumberFormat="1" applyFont="1" applyFill="1" applyBorder="1" applyAlignment="1">
      <alignment horizontal="right"/>
    </xf>
    <xf numFmtId="0" fontId="1" fillId="0" borderId="46" xfId="0" applyFont="1" applyBorder="1" applyAlignment="1">
      <alignment wrapText="1"/>
    </xf>
    <xf numFmtId="174" fontId="0" fillId="0" borderId="48" xfId="0" applyNumberFormat="1" applyFill="1" applyBorder="1"/>
    <xf numFmtId="170" fontId="2" fillId="0" borderId="48" xfId="7" applyNumberFormat="1" applyFont="1" applyFill="1" applyBorder="1"/>
    <xf numFmtId="170" fontId="2" fillId="0" borderId="51" xfId="7" applyNumberFormat="1" applyFont="1" applyFill="1" applyBorder="1"/>
    <xf numFmtId="170" fontId="1" fillId="0" borderId="52" xfId="7" applyNumberFormat="1" applyFont="1" applyFill="1" applyBorder="1"/>
    <xf numFmtId="170" fontId="1" fillId="0" borderId="48" xfId="7" applyNumberFormat="1" applyFont="1" applyFill="1" applyBorder="1"/>
    <xf numFmtId="170" fontId="1" fillId="0" borderId="51" xfId="7" applyNumberFormat="1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4" fontId="0" fillId="0" borderId="17" xfId="7" applyFont="1" applyBorder="1"/>
    <xf numFmtId="0" fontId="1" fillId="0" borderId="3" xfId="0" applyFont="1" applyBorder="1" applyAlignment="1">
      <alignment horizontal="right"/>
    </xf>
    <xf numFmtId="174" fontId="0" fillId="0" borderId="14" xfId="0" applyNumberFormat="1" applyFill="1" applyBorder="1" applyAlignment="1">
      <alignment horizontal="right"/>
    </xf>
    <xf numFmtId="167" fontId="2" fillId="0" borderId="14" xfId="7" applyNumberFormat="1" applyFont="1" applyFill="1" applyBorder="1" applyAlignment="1">
      <alignment horizontal="right"/>
    </xf>
    <xf numFmtId="170" fontId="0" fillId="0" borderId="30" xfId="7" applyNumberFormat="1" applyFont="1" applyBorder="1"/>
    <xf numFmtId="0" fontId="0" fillId="0" borderId="40" xfId="6" applyNumberFormat="1" applyFont="1" applyBorder="1" applyAlignment="1">
      <alignment horizontal="center"/>
    </xf>
    <xf numFmtId="0" fontId="0" fillId="0" borderId="0" xfId="0"/>
    <xf numFmtId="170" fontId="0" fillId="0" borderId="0" xfId="7" applyNumberFormat="1" applyFont="1" applyFill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0" fillId="0" borderId="17" xfId="7" applyNumberFormat="1" applyFont="1" applyFill="1" applyBorder="1"/>
    <xf numFmtId="0" fontId="0" fillId="7" borderId="17" xfId="6" applyNumberFormat="1" applyFont="1" applyFill="1" applyBorder="1" applyAlignment="1">
      <alignment horizontal="center"/>
    </xf>
    <xf numFmtId="0" fontId="1" fillId="6" borderId="17" xfId="6" applyNumberFormat="1" applyFont="1" applyFill="1" applyBorder="1" applyAlignment="1">
      <alignment horizontal="center"/>
    </xf>
    <xf numFmtId="0" fontId="2" fillId="5" borderId="17" xfId="6" applyNumberFormat="1" applyFont="1" applyFill="1" applyBorder="1" applyAlignment="1">
      <alignment horizontal="center"/>
    </xf>
    <xf numFmtId="0" fontId="0" fillId="0" borderId="17" xfId="6" applyNumberFormat="1" applyFont="1" applyBorder="1" applyAlignment="1">
      <alignment horizontal="center"/>
    </xf>
    <xf numFmtId="170" fontId="0" fillId="7" borderId="17" xfId="7" applyNumberFormat="1" applyFont="1" applyFill="1" applyBorder="1"/>
    <xf numFmtId="0" fontId="0" fillId="7" borderId="15" xfId="6" applyNumberFormat="1" applyFont="1" applyFill="1" applyBorder="1" applyAlignment="1">
      <alignment horizontal="center"/>
    </xf>
    <xf numFmtId="0" fontId="0" fillId="7" borderId="16" xfId="6" applyNumberFormat="1" applyFont="1" applyFill="1" applyBorder="1" applyAlignment="1">
      <alignment horizontal="center"/>
    </xf>
    <xf numFmtId="0" fontId="1" fillId="6" borderId="15" xfId="6" applyNumberFormat="1" applyFont="1" applyFill="1" applyBorder="1" applyAlignment="1">
      <alignment horizontal="center"/>
    </xf>
    <xf numFmtId="0" fontId="1" fillId="6" borderId="16" xfId="6" applyNumberFormat="1" applyFont="1" applyFill="1" applyBorder="1" applyAlignment="1">
      <alignment horizontal="center"/>
    </xf>
    <xf numFmtId="0" fontId="2" fillId="5" borderId="15" xfId="6" applyNumberFormat="1" applyFont="1" applyFill="1" applyBorder="1" applyAlignment="1">
      <alignment horizontal="center"/>
    </xf>
    <xf numFmtId="0" fontId="2" fillId="5" borderId="16" xfId="6" applyNumberFormat="1" applyFont="1" applyFill="1" applyBorder="1" applyAlignment="1">
      <alignment horizontal="center"/>
    </xf>
    <xf numFmtId="0" fontId="0" fillId="0" borderId="15" xfId="6" applyNumberFormat="1" applyFont="1" applyBorder="1" applyAlignment="1">
      <alignment horizontal="center"/>
    </xf>
    <xf numFmtId="0" fontId="0" fillId="0" borderId="16" xfId="6" applyNumberFormat="1" applyFont="1" applyBorder="1" applyAlignment="1">
      <alignment horizontal="center"/>
    </xf>
    <xf numFmtId="0" fontId="0" fillId="0" borderId="18" xfId="6" applyNumberFormat="1" applyFont="1" applyBorder="1" applyAlignment="1">
      <alignment horizontal="center"/>
    </xf>
    <xf numFmtId="0" fontId="0" fillId="0" borderId="20" xfId="6" applyNumberFormat="1" applyFont="1" applyBorder="1" applyAlignment="1">
      <alignment horizontal="center"/>
    </xf>
    <xf numFmtId="0" fontId="0" fillId="0" borderId="19" xfId="6" applyNumberFormat="1" applyFont="1" applyBorder="1" applyAlignment="1">
      <alignment horizontal="center"/>
    </xf>
    <xf numFmtId="170" fontId="0" fillId="7" borderId="13" xfId="7" applyNumberFormat="1" applyFont="1" applyFill="1" applyBorder="1"/>
    <xf numFmtId="170" fontId="0" fillId="7" borderId="16" xfId="7" applyNumberFormat="1" applyFont="1" applyFill="1" applyBorder="1"/>
    <xf numFmtId="170" fontId="0" fillId="0" borderId="16" xfId="7" applyNumberFormat="1" applyFont="1" applyBorder="1"/>
    <xf numFmtId="170" fontId="0" fillId="0" borderId="19" xfId="7" applyNumberFormat="1" applyFont="1" applyBorder="1"/>
    <xf numFmtId="170" fontId="0" fillId="0" borderId="13" xfId="7" applyNumberFormat="1" applyFont="1" applyFill="1" applyBorder="1"/>
    <xf numFmtId="0" fontId="1" fillId="0" borderId="21" xfId="0" applyFont="1" applyBorder="1" applyAlignment="1">
      <alignment horizontal="center"/>
    </xf>
    <xf numFmtId="166" fontId="0" fillId="7" borderId="17" xfId="0" applyNumberFormat="1" applyFill="1" applyBorder="1"/>
    <xf numFmtId="170" fontId="0" fillId="6" borderId="17" xfId="7" applyNumberFormat="1" applyFont="1" applyFill="1" applyBorder="1"/>
    <xf numFmtId="170" fontId="0" fillId="6" borderId="16" xfId="7" applyNumberFormat="1" applyFont="1" applyFill="1" applyBorder="1"/>
    <xf numFmtId="170" fontId="0" fillId="0" borderId="20" xfId="7" applyNumberFormat="1" applyFont="1" applyFill="1" applyBorder="1"/>
    <xf numFmtId="166" fontId="0" fillId="7" borderId="15" xfId="0" applyNumberFormat="1" applyFill="1" applyBorder="1"/>
    <xf numFmtId="166" fontId="0" fillId="7" borderId="16" xfId="0" applyNumberFormat="1" applyFill="1" applyBorder="1"/>
    <xf numFmtId="170" fontId="0" fillId="6" borderId="13" xfId="7" applyNumberFormat="1" applyFont="1" applyFill="1" applyBorder="1"/>
    <xf numFmtId="170" fontId="0" fillId="0" borderId="21" xfId="7" applyNumberFormat="1" applyFont="1" applyFill="1" applyBorder="1"/>
    <xf numFmtId="0" fontId="0" fillId="7" borderId="16" xfId="0" applyFill="1" applyBorder="1"/>
    <xf numFmtId="0" fontId="0" fillId="7" borderId="17" xfId="0" applyFill="1" applyBorder="1"/>
    <xf numFmtId="166" fontId="0" fillId="6" borderId="17" xfId="0" applyNumberFormat="1" applyFill="1" applyBorder="1"/>
    <xf numFmtId="166" fontId="0" fillId="0" borderId="17" xfId="0" applyNumberFormat="1" applyBorder="1"/>
    <xf numFmtId="166" fontId="0" fillId="0" borderId="17" xfId="0" applyNumberFormat="1" applyFill="1" applyBorder="1"/>
    <xf numFmtId="166" fontId="0" fillId="0" borderId="20" xfId="0" applyNumberFormat="1" applyBorder="1"/>
    <xf numFmtId="166" fontId="0" fillId="0" borderId="20" xfId="0" applyNumberFormat="1" applyFill="1" applyBorder="1"/>
    <xf numFmtId="1" fontId="0" fillId="7" borderId="48" xfId="0" applyNumberFormat="1" applyFill="1" applyBorder="1"/>
    <xf numFmtId="1" fontId="0" fillId="6" borderId="48" xfId="0" applyNumberFormat="1" applyFill="1" applyBorder="1"/>
    <xf numFmtId="1" fontId="0" fillId="0" borderId="48" xfId="0" applyNumberFormat="1" applyFill="1" applyBorder="1"/>
    <xf numFmtId="1" fontId="0" fillId="0" borderId="51" xfId="0" applyNumberFormat="1" applyFill="1" applyBorder="1"/>
    <xf numFmtId="166" fontId="0" fillId="6" borderId="15" xfId="0" applyNumberFormat="1" applyFill="1" applyBorder="1"/>
    <xf numFmtId="166" fontId="0" fillId="6" borderId="16" xfId="0" applyNumberFormat="1" applyFill="1" applyBorder="1"/>
    <xf numFmtId="166" fontId="0" fillId="0" borderId="15" xfId="0" applyNumberFormat="1" applyBorder="1"/>
    <xf numFmtId="166" fontId="0" fillId="0" borderId="16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0" fontId="0" fillId="7" borderId="15" xfId="0" applyFill="1" applyBorder="1"/>
    <xf numFmtId="2" fontId="0" fillId="6" borderId="16" xfId="0" applyNumberFormat="1" applyFill="1" applyBorder="1"/>
    <xf numFmtId="166" fontId="0" fillId="0" borderId="15" xfId="0" applyNumberFormat="1" applyFill="1" applyBorder="1"/>
    <xf numFmtId="2" fontId="0" fillId="0" borderId="16" xfId="0" applyNumberFormat="1" applyFill="1" applyBorder="1"/>
    <xf numFmtId="166" fontId="0" fillId="0" borderId="18" xfId="0" applyNumberFormat="1" applyFill="1" applyBorder="1"/>
    <xf numFmtId="2" fontId="0" fillId="0" borderId="19" xfId="0" applyNumberFormat="1" applyFill="1" applyBorder="1"/>
    <xf numFmtId="167" fontId="0" fillId="7" borderId="33" xfId="0" applyNumberFormat="1" applyFill="1" applyBorder="1"/>
    <xf numFmtId="167" fontId="0" fillId="7" borderId="11" xfId="0" applyNumberFormat="1" applyFill="1" applyBorder="1"/>
    <xf numFmtId="167" fontId="0" fillId="0" borderId="14" xfId="0" applyNumberFormat="1" applyFont="1" applyFill="1" applyBorder="1"/>
    <xf numFmtId="167" fontId="0" fillId="0" borderId="60" xfId="0" applyNumberFormat="1" applyFont="1" applyFill="1" applyBorder="1"/>
    <xf numFmtId="170" fontId="1" fillId="0" borderId="22" xfId="7" applyNumberFormat="1" applyFont="1" applyBorder="1"/>
    <xf numFmtId="10" fontId="0" fillId="0" borderId="20" xfId="1" applyNumberFormat="1" applyFont="1" applyBorder="1"/>
    <xf numFmtId="167" fontId="2" fillId="0" borderId="17" xfId="7" applyNumberFormat="1" applyFont="1" applyFill="1" applyBorder="1" applyAlignment="1">
      <alignment horizontal="right"/>
    </xf>
    <xf numFmtId="167" fontId="2" fillId="0" borderId="20" xfId="6" applyNumberFormat="1" applyFont="1" applyFill="1" applyBorder="1" applyAlignment="1">
      <alignment horizontal="right"/>
    </xf>
    <xf numFmtId="167" fontId="7" fillId="0" borderId="17" xfId="7" applyNumberFormat="1" applyFont="1" applyFill="1" applyBorder="1" applyAlignment="1">
      <alignment horizontal="right" vertical="center" wrapText="1"/>
    </xf>
    <xf numFmtId="0" fontId="0" fillId="0" borderId="0" xfId="0" applyFont="1"/>
    <xf numFmtId="170" fontId="0" fillId="0" borderId="17" xfId="7" applyNumberFormat="1" applyFont="1" applyBorder="1"/>
    <xf numFmtId="170" fontId="0" fillId="0" borderId="33" xfId="7" applyNumberFormat="1" applyFont="1" applyBorder="1"/>
    <xf numFmtId="0" fontId="0" fillId="0" borderId="0" xfId="0" applyFont="1" applyAlignment="1">
      <alignment wrapText="1"/>
    </xf>
    <xf numFmtId="44" fontId="0" fillId="0" borderId="17" xfId="7" applyFont="1" applyBorder="1"/>
    <xf numFmtId="170" fontId="0" fillId="5" borderId="33" xfId="7" applyNumberFormat="1" applyFont="1" applyFill="1" applyBorder="1"/>
    <xf numFmtId="0" fontId="8" fillId="0" borderId="0" xfId="0" applyFont="1" applyAlignment="1"/>
    <xf numFmtId="0" fontId="0" fillId="0" borderId="0" xfId="0" applyAlignment="1"/>
    <xf numFmtId="0" fontId="0" fillId="5" borderId="0" xfId="0" applyFill="1" applyBorder="1" applyAlignment="1"/>
    <xf numFmtId="0" fontId="1" fillId="0" borderId="7" xfId="0" applyFont="1" applyBorder="1" applyAlignment="1">
      <alignment horizontal="right"/>
    </xf>
    <xf numFmtId="170" fontId="0" fillId="0" borderId="25" xfId="7" applyNumberFormat="1" applyFont="1" applyBorder="1"/>
    <xf numFmtId="170" fontId="0" fillId="0" borderId="6" xfId="7" applyNumberFormat="1" applyFont="1" applyBorder="1"/>
    <xf numFmtId="167" fontId="1" fillId="0" borderId="6" xfId="7" applyNumberFormat="1" applyFont="1" applyFill="1" applyBorder="1" applyAlignment="1">
      <alignment horizontal="right"/>
    </xf>
    <xf numFmtId="170" fontId="1" fillId="0" borderId="60" xfId="7" applyNumberFormat="1" applyFont="1" applyFill="1" applyBorder="1"/>
    <xf numFmtId="0" fontId="2" fillId="5" borderId="18" xfId="6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2" fontId="3" fillId="0" borderId="0" xfId="0" applyNumberFormat="1" applyFont="1"/>
    <xf numFmtId="42" fontId="0" fillId="0" borderId="0" xfId="0" applyNumberFormat="1" applyAlignment="1">
      <alignment vertical="center"/>
    </xf>
    <xf numFmtId="174" fontId="0" fillId="0" borderId="17" xfId="0" applyNumberForma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4" fontId="0" fillId="0" borderId="48" xfId="0" applyNumberFormat="1" applyBorder="1"/>
    <xf numFmtId="174" fontId="0" fillId="0" borderId="0" xfId="0" applyNumberFormat="1"/>
    <xf numFmtId="17" fontId="1" fillId="0" borderId="0" xfId="0" applyNumberFormat="1" applyFont="1"/>
    <xf numFmtId="170" fontId="1" fillId="0" borderId="20" xfId="7" applyNumberFormat="1" applyFont="1" applyBorder="1"/>
    <xf numFmtId="2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15" xfId="0" applyBorder="1"/>
    <xf numFmtId="170" fontId="0" fillId="0" borderId="16" xfId="0" applyNumberFormat="1" applyBorder="1"/>
    <xf numFmtId="0" fontId="1" fillId="0" borderId="0" xfId="0" applyFont="1" applyAlignment="1">
      <alignment horizontal="center"/>
    </xf>
    <xf numFmtId="1" fontId="0" fillId="0" borderId="48" xfId="0" applyNumberFormat="1" applyBorder="1"/>
    <xf numFmtId="2" fontId="0" fillId="0" borderId="16" xfId="0" applyNumberFormat="1" applyBorder="1"/>
    <xf numFmtId="1" fontId="0" fillId="0" borderId="51" xfId="0" applyNumberFormat="1" applyBorder="1"/>
    <xf numFmtId="2" fontId="0" fillId="0" borderId="19" xfId="0" applyNumberFormat="1" applyBorder="1"/>
    <xf numFmtId="170" fontId="1" fillId="0" borderId="34" xfId="7" applyNumberFormat="1" applyFont="1" applyBorder="1"/>
    <xf numFmtId="0" fontId="0" fillId="0" borderId="17" xfId="0" applyBorder="1"/>
    <xf numFmtId="0" fontId="0" fillId="0" borderId="16" xfId="0" applyBorder="1"/>
    <xf numFmtId="0" fontId="0" fillId="0" borderId="13" xfId="0" applyBorder="1"/>
    <xf numFmtId="167" fontId="0" fillId="0" borderId="15" xfId="0" applyNumberFormat="1" applyBorder="1"/>
    <xf numFmtId="167" fontId="0" fillId="0" borderId="17" xfId="0" applyNumberFormat="1" applyBorder="1"/>
    <xf numFmtId="167" fontId="0" fillId="0" borderId="16" xfId="0" applyNumberFormat="1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167" fontId="0" fillId="0" borderId="18" xfId="0" applyNumberFormat="1" applyBorder="1"/>
    <xf numFmtId="167" fontId="0" fillId="0" borderId="20" xfId="0" applyNumberFormat="1" applyBorder="1"/>
    <xf numFmtId="167" fontId="0" fillId="0" borderId="19" xfId="0" applyNumberFormat="1" applyBorder="1"/>
    <xf numFmtId="167" fontId="1" fillId="0" borderId="0" xfId="0" applyNumberFormat="1" applyFont="1"/>
    <xf numFmtId="167" fontId="0" fillId="7" borderId="14" xfId="0" applyNumberFormat="1" applyFill="1" applyBorder="1"/>
    <xf numFmtId="167" fontId="0" fillId="7" borderId="48" xfId="0" applyNumberFormat="1" applyFill="1" applyBorder="1"/>
    <xf numFmtId="167" fontId="0" fillId="6" borderId="14" xfId="0" applyNumberFormat="1" applyFill="1" applyBorder="1"/>
    <xf numFmtId="167" fontId="0" fillId="6" borderId="48" xfId="0" applyNumberFormat="1" applyFill="1" applyBorder="1"/>
    <xf numFmtId="167" fontId="0" fillId="0" borderId="14" xfId="0" applyNumberFormat="1" applyBorder="1"/>
    <xf numFmtId="167" fontId="0" fillId="0" borderId="48" xfId="0" applyNumberFormat="1" applyBorder="1"/>
    <xf numFmtId="167" fontId="0" fillId="0" borderId="59" xfId="0" applyNumberFormat="1" applyBorder="1"/>
    <xf numFmtId="167" fontId="0" fillId="0" borderId="51" xfId="0" applyNumberFormat="1" applyBorder="1"/>
    <xf numFmtId="0" fontId="0" fillId="5" borderId="0" xfId="0" applyFill="1"/>
    <xf numFmtId="0" fontId="0" fillId="0" borderId="52" xfId="0" applyBorder="1" applyAlignment="1">
      <alignment horizontal="left" vertical="center"/>
    </xf>
    <xf numFmtId="170" fontId="0" fillId="0" borderId="31" xfId="0" applyNumberFormat="1" applyBorder="1" applyAlignment="1">
      <alignment horizontal="left"/>
    </xf>
    <xf numFmtId="170" fontId="0" fillId="0" borderId="12" xfId="0" applyNumberFormat="1" applyBorder="1" applyAlignment="1">
      <alignment horizontal="left"/>
    </xf>
    <xf numFmtId="170" fontId="0" fillId="5" borderId="0" xfId="0" applyNumberFormat="1" applyFill="1" applyAlignment="1">
      <alignment horizontal="left"/>
    </xf>
    <xf numFmtId="0" fontId="0" fillId="0" borderId="48" xfId="0" applyBorder="1" applyAlignment="1">
      <alignment horizontal="left" vertical="center"/>
    </xf>
    <xf numFmtId="170" fontId="0" fillId="0" borderId="13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170" fontId="0" fillId="0" borderId="13" xfId="0" applyNumberFormat="1" applyBorder="1" applyAlignment="1">
      <alignment horizontal="right"/>
    </xf>
    <xf numFmtId="170" fontId="0" fillId="5" borderId="0" xfId="0" applyNumberFormat="1" applyFill="1" applyAlignment="1">
      <alignment horizontal="right"/>
    </xf>
    <xf numFmtId="170" fontId="0" fillId="5" borderId="0" xfId="0" applyNumberFormat="1" applyFill="1"/>
    <xf numFmtId="170" fontId="1" fillId="5" borderId="0" xfId="0" applyNumberFormat="1" applyFont="1" applyFill="1" applyAlignment="1">
      <alignment horizontal="left"/>
    </xf>
    <xf numFmtId="170" fontId="0" fillId="0" borderId="29" xfId="0" applyNumberFormat="1" applyBorder="1" applyAlignment="1">
      <alignment horizontal="right"/>
    </xf>
    <xf numFmtId="170" fontId="0" fillId="0" borderId="40" xfId="0" applyNumberFormat="1" applyBorder="1" applyAlignment="1">
      <alignment horizontal="right"/>
    </xf>
    <xf numFmtId="2" fontId="1" fillId="5" borderId="0" xfId="0" applyNumberFormat="1" applyFont="1" applyFill="1" applyAlignment="1">
      <alignment horizontal="center"/>
    </xf>
    <xf numFmtId="167" fontId="0" fillId="0" borderId="60" xfId="0" applyNumberFormat="1" applyBorder="1"/>
    <xf numFmtId="0" fontId="8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15" xfId="6" applyNumberFormat="1" applyFont="1" applyFill="1" applyBorder="1" applyAlignment="1">
      <alignment horizontal="center"/>
    </xf>
    <xf numFmtId="0" fontId="1" fillId="0" borderId="17" xfId="6" applyNumberFormat="1" applyFont="1" applyFill="1" applyBorder="1" applyAlignment="1">
      <alignment horizontal="center"/>
    </xf>
    <xf numFmtId="0" fontId="1" fillId="0" borderId="16" xfId="6" applyNumberFormat="1" applyFont="1" applyFill="1" applyBorder="1" applyAlignment="1">
      <alignment horizontal="center"/>
    </xf>
    <xf numFmtId="0" fontId="2" fillId="0" borderId="15" xfId="6" applyNumberFormat="1" applyFont="1" applyFill="1" applyBorder="1" applyAlignment="1">
      <alignment horizontal="center"/>
    </xf>
    <xf numFmtId="0" fontId="2" fillId="0" borderId="17" xfId="6" applyNumberFormat="1" applyFont="1" applyFill="1" applyBorder="1" applyAlignment="1">
      <alignment horizontal="center"/>
    </xf>
    <xf numFmtId="0" fontId="2" fillId="0" borderId="14" xfId="6" applyNumberFormat="1" applyFont="1" applyFill="1" applyBorder="1" applyAlignment="1">
      <alignment horizontal="center"/>
    </xf>
    <xf numFmtId="167" fontId="0" fillId="0" borderId="11" xfId="0" applyNumberFormat="1" applyBorder="1"/>
    <xf numFmtId="167" fontId="0" fillId="0" borderId="33" xfId="0" applyNumberFormat="1" applyBorder="1"/>
    <xf numFmtId="0" fontId="0" fillId="0" borderId="15" xfId="6" applyNumberFormat="1" applyFont="1" applyFill="1" applyBorder="1" applyAlignment="1">
      <alignment horizontal="center"/>
    </xf>
    <xf numFmtId="0" fontId="0" fillId="0" borderId="17" xfId="6" applyNumberFormat="1" applyFont="1" applyFill="1" applyBorder="1" applyAlignment="1">
      <alignment horizontal="center"/>
    </xf>
    <xf numFmtId="0" fontId="0" fillId="0" borderId="14" xfId="6" applyNumberFormat="1" applyFont="1" applyFill="1" applyBorder="1" applyAlignment="1">
      <alignment horizontal="center"/>
    </xf>
    <xf numFmtId="0" fontId="1" fillId="0" borderId="14" xfId="6" applyNumberFormat="1" applyFont="1" applyFill="1" applyBorder="1" applyAlignment="1">
      <alignment horizontal="center"/>
    </xf>
    <xf numFmtId="0" fontId="2" fillId="0" borderId="7" xfId="6" applyNumberFormat="1" applyFont="1" applyFill="1" applyBorder="1" applyAlignment="1">
      <alignment horizontal="center"/>
    </xf>
    <xf numFmtId="0" fontId="0" fillId="0" borderId="25" xfId="6" applyNumberFormat="1" applyFont="1" applyFill="1" applyBorder="1" applyAlignment="1">
      <alignment horizontal="center"/>
    </xf>
    <xf numFmtId="0" fontId="0" fillId="0" borderId="6" xfId="6" applyNumberFormat="1" applyFont="1" applyFill="1" applyBorder="1" applyAlignment="1">
      <alignment horizontal="center"/>
    </xf>
    <xf numFmtId="0" fontId="0" fillId="0" borderId="18" xfId="6" applyNumberFormat="1" applyFont="1" applyFill="1" applyBorder="1" applyAlignment="1">
      <alignment horizontal="center"/>
    </xf>
    <xf numFmtId="0" fontId="0" fillId="0" borderId="20" xfId="6" applyNumberFormat="1" applyFont="1" applyFill="1" applyBorder="1" applyAlignment="1">
      <alignment horizontal="center"/>
    </xf>
    <xf numFmtId="0" fontId="0" fillId="0" borderId="59" xfId="6" applyNumberFormat="1" applyFont="1" applyFill="1" applyBorder="1" applyAlignment="1">
      <alignment horizontal="center"/>
    </xf>
    <xf numFmtId="166" fontId="0" fillId="0" borderId="16" xfId="0" applyNumberFormat="1" applyFont="1" applyFill="1" applyBorder="1"/>
    <xf numFmtId="166" fontId="0" fillId="0" borderId="19" xfId="0" applyNumberFormat="1" applyFont="1" applyFill="1" applyBorder="1"/>
    <xf numFmtId="0" fontId="13" fillId="0" borderId="0" xfId="2" applyFont="1" applyBorder="1" applyAlignment="1"/>
    <xf numFmtId="0" fontId="13" fillId="0" borderId="0" xfId="2" applyFont="1" applyBorder="1" applyAlignment="1">
      <alignment horizontal="center"/>
    </xf>
    <xf numFmtId="3" fontId="0" fillId="0" borderId="0" xfId="0" applyNumberFormat="1" applyFont="1" applyFill="1" applyBorder="1"/>
    <xf numFmtId="3" fontId="0" fillId="0" borderId="0" xfId="0" applyNumberFormat="1" applyFont="1" applyBorder="1"/>
    <xf numFmtId="0" fontId="13" fillId="0" borderId="16" xfId="2" applyFont="1" applyBorder="1" applyAlignment="1">
      <alignment horizontal="center"/>
    </xf>
    <xf numFmtId="3" fontId="12" fillId="0" borderId="16" xfId="2" applyNumberFormat="1" applyFont="1" applyFill="1" applyBorder="1"/>
    <xf numFmtId="0" fontId="13" fillId="0" borderId="18" xfId="2" applyFont="1" applyFill="1" applyBorder="1" applyAlignment="1">
      <alignment horizontal="right" wrapText="1"/>
    </xf>
    <xf numFmtId="3" fontId="0" fillId="0" borderId="19" xfId="0" applyNumberFormat="1" applyFont="1" applyBorder="1"/>
    <xf numFmtId="0" fontId="6" fillId="0" borderId="0" xfId="5" applyFont="1" applyFill="1"/>
    <xf numFmtId="167" fontId="0" fillId="0" borderId="11" xfId="0" applyNumberFormat="1" applyFill="1" applyBorder="1"/>
    <xf numFmtId="167" fontId="0" fillId="0" borderId="33" xfId="0" applyNumberFormat="1" applyFill="1" applyBorder="1"/>
    <xf numFmtId="0" fontId="0" fillId="0" borderId="22" xfId="0" applyBorder="1"/>
    <xf numFmtId="0" fontId="0" fillId="0" borderId="27" xfId="0" applyBorder="1"/>
    <xf numFmtId="0" fontId="0" fillId="0" borderId="27" xfId="0" applyBorder="1" applyAlignment="1">
      <alignment horizontal="right"/>
    </xf>
    <xf numFmtId="167" fontId="1" fillId="0" borderId="61" xfId="0" applyNumberFormat="1" applyFont="1" applyBorder="1"/>
    <xf numFmtId="0" fontId="2" fillId="0" borderId="18" xfId="6" applyNumberFormat="1" applyFont="1" applyFill="1" applyBorder="1" applyAlignment="1">
      <alignment horizontal="center"/>
    </xf>
    <xf numFmtId="167" fontId="0" fillId="0" borderId="23" xfId="0" applyNumberFormat="1" applyFill="1" applyBorder="1"/>
    <xf numFmtId="167" fontId="0" fillId="0" borderId="24" xfId="0" applyNumberFormat="1" applyFill="1" applyBorder="1"/>
    <xf numFmtId="167" fontId="0" fillId="0" borderId="59" xfId="0" applyNumberFormat="1" applyFont="1" applyFill="1" applyBorder="1"/>
    <xf numFmtId="167" fontId="0" fillId="0" borderId="51" xfId="0" applyNumberFormat="1" applyFont="1" applyFill="1" applyBorder="1"/>
    <xf numFmtId="0" fontId="0" fillId="5" borderId="0" xfId="0" applyFill="1" applyBorder="1" applyAlignment="1"/>
    <xf numFmtId="0" fontId="8" fillId="0" borderId="0" xfId="0" applyFont="1"/>
    <xf numFmtId="0" fontId="0" fillId="0" borderId="0" xfId="0"/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5" borderId="0" xfId="0" applyFill="1"/>
    <xf numFmtId="0" fontId="8" fillId="0" borderId="0" xfId="0" applyFont="1" applyAlignment="1"/>
    <xf numFmtId="0" fontId="0" fillId="0" borderId="0" xfId="0" applyAlignment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0" fillId="0" borderId="0" xfId="0" applyFont="1" applyAlignment="1"/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42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2" xfId="0" applyBorder="1" applyAlignment="1"/>
    <xf numFmtId="0" fontId="0" fillId="0" borderId="10" xfId="0" applyFont="1" applyFill="1" applyBorder="1" applyAlignment="1">
      <alignment horizontal="center"/>
    </xf>
    <xf numFmtId="0" fontId="0" fillId="0" borderId="15" xfId="0" applyFill="1" applyBorder="1" applyAlignment="1"/>
    <xf numFmtId="0" fontId="0" fillId="0" borderId="17" xfId="0" applyFill="1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Fill="1" applyBorder="1" applyAlignment="1"/>
    <xf numFmtId="0" fontId="0" fillId="0" borderId="20" xfId="0" applyFill="1" applyBorder="1" applyAlignment="1"/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5" xfId="0" applyFont="1" applyBorder="1" applyAlignment="1"/>
    <xf numFmtId="0" fontId="1" fillId="0" borderId="17" xfId="0" applyFont="1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0" xfId="0" applyAlignment="1">
      <alignment horizontal="center"/>
    </xf>
    <xf numFmtId="0" fontId="1" fillId="0" borderId="8" xfId="0" applyFont="1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10" fillId="0" borderId="15" xfId="0" applyFont="1" applyBorder="1" applyAlignment="1"/>
    <xf numFmtId="0" fontId="10" fillId="0" borderId="17" xfId="0" applyFont="1" applyBorder="1" applyAlignment="1"/>
    <xf numFmtId="0" fontId="10" fillId="0" borderId="15" xfId="0" applyFont="1" applyFill="1" applyBorder="1" applyAlignment="1"/>
    <xf numFmtId="0" fontId="10" fillId="0" borderId="17" xfId="0" applyFont="1" applyFill="1" applyBorder="1" applyAlignment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6" borderId="15" xfId="0" applyFont="1" applyFill="1" applyBorder="1" applyAlignment="1"/>
    <xf numFmtId="0" fontId="1" fillId="6" borderId="16" xfId="0" applyFont="1" applyFill="1" applyBorder="1" applyAlignment="1"/>
    <xf numFmtId="0" fontId="1" fillId="0" borderId="10" xfId="0" applyFont="1" applyBorder="1" applyAlignment="1">
      <alignment wrapText="1"/>
    </xf>
    <xf numFmtId="0" fontId="0" fillId="6" borderId="5" xfId="0" applyFill="1" applyBorder="1" applyAlignment="1"/>
    <xf numFmtId="0" fontId="0" fillId="6" borderId="4" xfId="0" applyFill="1" applyBorder="1" applyAlignment="1"/>
    <xf numFmtId="0" fontId="0" fillId="6" borderId="42" xfId="0" applyFill="1" applyBorder="1" applyAlignment="1"/>
    <xf numFmtId="0" fontId="0" fillId="6" borderId="49" xfId="0" applyFill="1" applyBorder="1" applyAlignment="1"/>
    <xf numFmtId="0" fontId="0" fillId="6" borderId="35" xfId="0" applyFill="1" applyBorder="1" applyAlignment="1"/>
    <xf numFmtId="0" fontId="0" fillId="6" borderId="50" xfId="0" applyFill="1" applyBorder="1" applyAlignment="1"/>
    <xf numFmtId="0" fontId="1" fillId="0" borderId="15" xfId="0" applyFont="1" applyFill="1" applyBorder="1" applyAlignment="1"/>
    <xf numFmtId="0" fontId="1" fillId="0" borderId="17" xfId="0" applyFont="1" applyFill="1" applyBorder="1" applyAlignment="1"/>
    <xf numFmtId="0" fontId="1" fillId="6" borderId="17" xfId="0" applyFont="1" applyFill="1" applyBorder="1" applyAlignment="1"/>
  </cellXfs>
  <cellStyles count="10">
    <cellStyle name="Comma" xfId="6" builtinId="3"/>
    <cellStyle name="Currency" xfId="7" builtinId="4"/>
    <cellStyle name="Hyperlink" xfId="5" builtinId="8"/>
    <cellStyle name="Normal" xfId="0" builtinId="0"/>
    <cellStyle name="Normal 2" xfId="2" xr:uid="{00000000-0005-0000-0000-000004000000}"/>
    <cellStyle name="Normal 2 2" xfId="4" xr:uid="{00000000-0005-0000-0000-000005000000}"/>
    <cellStyle name="Normal 3" xfId="8" xr:uid="{24A09FC3-06B6-440E-9E4A-F3FAE70A6EF1}"/>
    <cellStyle name="Normal 3 2" xfId="9" xr:uid="{F08962C7-6D8C-4661-9535-D2ED8384C855}"/>
    <cellStyle name="Percent" xfId="1" builtinId="5"/>
    <cellStyle name="Percent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48</xdr:row>
      <xdr:rowOff>0</xdr:rowOff>
    </xdr:from>
    <xdr:to>
      <xdr:col>16</xdr:col>
      <xdr:colOff>136769</xdr:colOff>
      <xdr:row>60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118B69-1F49-42EB-A1BC-0074459F0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10344150"/>
          <a:ext cx="5537444" cy="2286000"/>
        </a:xfrm>
        <a:prstGeom prst="rect">
          <a:avLst/>
        </a:prstGeom>
      </xdr:spPr>
    </xdr:pic>
    <xdr:clientData/>
  </xdr:twoCellAnchor>
  <xdr:twoCellAnchor>
    <xdr:from>
      <xdr:col>13</xdr:col>
      <xdr:colOff>190500</xdr:colOff>
      <xdr:row>55</xdr:row>
      <xdr:rowOff>171450</xdr:rowOff>
    </xdr:from>
    <xdr:to>
      <xdr:col>14</xdr:col>
      <xdr:colOff>190500</xdr:colOff>
      <xdr:row>57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E70F65-02FB-42CD-B5E2-3F878AE8577A}"/>
            </a:ext>
          </a:extLst>
        </xdr:cNvPr>
        <xdr:cNvSpPr/>
      </xdr:nvSpPr>
      <xdr:spPr>
        <a:xfrm>
          <a:off x="12058650" y="11782425"/>
          <a:ext cx="6096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71437</xdr:colOff>
      <xdr:row>1</xdr:row>
      <xdr:rowOff>83344</xdr:rowOff>
    </xdr:from>
    <xdr:to>
      <xdr:col>22</xdr:col>
      <xdr:colOff>558843</xdr:colOff>
      <xdr:row>34</xdr:row>
      <xdr:rowOff>115734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633421-8482-4425-80E7-6549DD99C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42031" y="273844"/>
          <a:ext cx="6000000" cy="80810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1907190%20-%20CCTA%20PPM%202019_2022%20(CCTA)/Grants/MEGA%202022/BCA/08%20MEGA%202022%20BCA%20-%20Highway%20Rehab%20-%20SR%20242%20to%20Sola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1907190%20-%20CCTA%20PPM%202019_2022%20(CCTA)/Grants/MEGA%202022/BCA/BCA%20writeups%20for%20review%20051822/BCA%20Calcualtions/08%20MEGA%202022%20BCA%20-%20Highway%20Rehab%20-%20Bridge%20Crossing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1907190%20-%20CCTA%20PPM%202019_2022%20(CCTA)/Grants/MEGA%202022/BCA/BCA%20writeups%20for%20review%20051822/BCA%20Calcualtions/08%20MEGA%202022%20BCA%20-%20Highway%20Rehab%20-%20Alcosta_Diablo%20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 Summary"/>
      <sheetName val="Project Cost"/>
      <sheetName val="Prevented Accident Savings"/>
      <sheetName val="Collision Data "/>
      <sheetName val="Parameters"/>
    </sheetNames>
    <sheetDataSet>
      <sheetData sheetId="0" refreshError="1"/>
      <sheetData sheetId="1"/>
      <sheetData sheetId="2"/>
      <sheetData sheetId="3">
        <row r="6">
          <cell r="B6">
            <v>0.23913870274332269</v>
          </cell>
        </row>
        <row r="7">
          <cell r="B7" t="e">
            <v>#DIV/0!</v>
          </cell>
          <cell r="C7" t="e">
            <v>#DIV/0!</v>
          </cell>
          <cell r="D7" t="e">
            <v>#DIV/0!</v>
          </cell>
        </row>
        <row r="8">
          <cell r="B8" t="e">
            <v>#DIV/0!</v>
          </cell>
          <cell r="C8" t="e">
            <v>#DIV/0!</v>
          </cell>
          <cell r="D8" t="e">
            <v>#DIV/0!</v>
          </cell>
        </row>
        <row r="9">
          <cell r="E9">
            <v>2.2000000000000002</v>
          </cell>
        </row>
        <row r="10">
          <cell r="E10">
            <v>1.3777777777777778</v>
          </cell>
        </row>
        <row r="18">
          <cell r="B18">
            <v>0.91300000000000003</v>
          </cell>
        </row>
        <row r="19">
          <cell r="B19">
            <v>0.46</v>
          </cell>
        </row>
        <row r="58">
          <cell r="B58">
            <v>0</v>
          </cell>
          <cell r="M58">
            <v>0</v>
          </cell>
        </row>
        <row r="67">
          <cell r="M67">
            <v>0</v>
          </cell>
        </row>
      </sheetData>
      <sheetData sheetId="4">
        <row r="23">
          <cell r="D23">
            <v>302600</v>
          </cell>
        </row>
        <row r="24">
          <cell r="D24">
            <v>12837400</v>
          </cell>
        </row>
        <row r="28">
          <cell r="D28">
            <v>4600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CA Summary"/>
      <sheetName val="Project Cost"/>
      <sheetName val="Prevented Accident Savings"/>
      <sheetName val="Collision Data 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0.53235179038342306</v>
          </cell>
        </row>
      </sheetData>
      <sheetData sheetId="5">
        <row r="23">
          <cell r="D23">
            <v>302600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CA Summary"/>
      <sheetName val="Project Cost"/>
      <sheetName val="Prevented Accident Savings"/>
      <sheetName val="Collision Data 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0.34053360783613229</v>
          </cell>
        </row>
      </sheetData>
      <sheetData sheetId="5">
        <row r="23">
          <cell r="D23">
            <v>302600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data.ca.gov/dataset/annual-average-daily-traffic-volumes" TargetMode="External"/><Relationship Id="rId1" Type="http://schemas.openxmlformats.org/officeDocument/2006/relationships/hyperlink" Target="https://data.ca.gov/dataset/annual-average-daily-traffic-volume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dot.ca.gov/programs/transportation-planning/economics-data-management/transportation-economics/vehicle-operation-cost-paramete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66E5-5621-4D21-8110-2D6C7C4665C5}">
  <sheetPr>
    <tabColor theme="3" tint="0.39997558519241921"/>
    <pageSetUpPr fitToPage="1"/>
  </sheetPr>
  <dimension ref="A1:R123"/>
  <sheetViews>
    <sheetView zoomScale="90" zoomScaleNormal="90" workbookViewId="0">
      <selection activeCell="N21" sqref="N21"/>
    </sheetView>
  </sheetViews>
  <sheetFormatPr defaultRowHeight="15" x14ac:dyDescent="0.25"/>
  <cols>
    <col min="1" max="1" width="25.28515625" bestFit="1" customWidth="1"/>
    <col min="2" max="2" width="16.140625" style="52" bestFit="1" customWidth="1"/>
    <col min="3" max="3" width="15.28515625" bestFit="1" customWidth="1"/>
    <col min="4" max="4" width="57.5703125" customWidth="1"/>
    <col min="5" max="5" width="17.7109375" style="295" bestFit="1" customWidth="1"/>
    <col min="6" max="6" width="20.7109375" style="295" bestFit="1" customWidth="1"/>
    <col min="7" max="7" width="14.5703125" style="295" bestFit="1" customWidth="1"/>
    <col min="8" max="8" width="20.28515625" style="295" bestFit="1" customWidth="1"/>
    <col min="9" max="9" width="18.7109375" style="295" bestFit="1" customWidth="1"/>
    <col min="10" max="10" width="15.85546875" style="295" bestFit="1" customWidth="1"/>
    <col min="11" max="11" width="15.42578125" bestFit="1" customWidth="1"/>
    <col min="12" max="12" width="16.7109375" bestFit="1" customWidth="1"/>
    <col min="13" max="13" width="18.7109375" bestFit="1" customWidth="1"/>
    <col min="14" max="15" width="13.7109375" style="52" customWidth="1"/>
    <col min="16" max="16" width="12" bestFit="1" customWidth="1"/>
    <col min="17" max="18" width="18.7109375" bestFit="1" customWidth="1"/>
  </cols>
  <sheetData>
    <row r="1" spans="1:18" s="52" customFormat="1" ht="18.75" x14ac:dyDescent="0.3">
      <c r="A1" s="569" t="s">
        <v>171</v>
      </c>
      <c r="B1" s="570"/>
      <c r="C1" s="570"/>
      <c r="D1" s="570"/>
      <c r="E1" s="294"/>
      <c r="F1" s="294"/>
      <c r="G1" s="294"/>
      <c r="H1" s="294"/>
      <c r="I1" s="294"/>
      <c r="J1" s="294"/>
      <c r="K1" s="62"/>
      <c r="L1" s="62"/>
      <c r="M1" s="62"/>
      <c r="N1" s="62"/>
      <c r="O1" s="62"/>
      <c r="P1" s="62"/>
      <c r="Q1" s="62"/>
      <c r="R1" s="62"/>
    </row>
    <row r="2" spans="1:18" s="378" customFormat="1" ht="18.75" x14ac:dyDescent="0.3">
      <c r="A2" s="569" t="s">
        <v>197</v>
      </c>
      <c r="B2" s="570"/>
      <c r="C2" s="570"/>
      <c r="D2" s="570"/>
      <c r="E2" s="454"/>
      <c r="F2" s="454"/>
      <c r="G2" s="454"/>
      <c r="H2" s="454"/>
      <c r="I2" s="454"/>
      <c r="J2" s="454"/>
      <c r="K2" s="453"/>
      <c r="L2" s="453"/>
      <c r="M2" s="453"/>
      <c r="N2" s="453"/>
      <c r="O2" s="453"/>
      <c r="P2" s="453"/>
      <c r="Q2" s="453"/>
      <c r="R2" s="453"/>
    </row>
    <row r="3" spans="1:18" s="378" customFormat="1" ht="18.75" x14ac:dyDescent="0.3">
      <c r="A3" s="569" t="s">
        <v>122</v>
      </c>
      <c r="B3" s="570"/>
      <c r="C3" s="570"/>
      <c r="D3" s="570"/>
      <c r="E3" s="454"/>
      <c r="F3" s="454"/>
      <c r="G3" s="454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</row>
    <row r="4" spans="1:18" s="378" customFormat="1" ht="15.75" thickBot="1" x14ac:dyDescent="0.3">
      <c r="E4" s="295"/>
      <c r="F4" s="295"/>
      <c r="G4" s="295"/>
      <c r="H4" s="295"/>
      <c r="I4" s="295"/>
      <c r="J4" s="295"/>
    </row>
    <row r="5" spans="1:18" s="378" customFormat="1" x14ac:dyDescent="0.25">
      <c r="A5" s="564" t="s">
        <v>0</v>
      </c>
      <c r="B5" s="566" t="s">
        <v>196</v>
      </c>
      <c r="C5" s="567"/>
      <c r="E5" s="295"/>
      <c r="F5" s="295"/>
      <c r="G5" s="295"/>
      <c r="H5" s="295"/>
      <c r="I5" s="295"/>
      <c r="J5" s="295"/>
    </row>
    <row r="6" spans="1:18" s="378" customFormat="1" ht="15.75" thickBot="1" x14ac:dyDescent="0.3">
      <c r="A6" s="565"/>
      <c r="B6" s="405" t="s">
        <v>170</v>
      </c>
      <c r="C6" s="15" t="s">
        <v>3</v>
      </c>
      <c r="E6" s="561"/>
      <c r="F6" s="561"/>
      <c r="G6" s="295"/>
      <c r="H6" s="295"/>
      <c r="I6" s="295"/>
      <c r="J6" s="295"/>
    </row>
    <row r="7" spans="1:18" s="378" customFormat="1" x14ac:dyDescent="0.25">
      <c r="A7" s="180" t="s">
        <v>5</v>
      </c>
      <c r="B7" s="177"/>
      <c r="C7" s="176"/>
      <c r="E7" s="296"/>
      <c r="F7" s="296"/>
      <c r="G7" s="295"/>
      <c r="H7" s="295"/>
      <c r="I7" s="295"/>
      <c r="J7" s="295"/>
    </row>
    <row r="8" spans="1:18" s="378" customFormat="1" x14ac:dyDescent="0.25">
      <c r="A8" s="181" t="s">
        <v>6</v>
      </c>
      <c r="B8" s="178">
        <f>B38+B53+B68+B23</f>
        <v>2463736496.4557672</v>
      </c>
      <c r="C8" s="178">
        <f>C38+C53+C68+C23</f>
        <v>714543866.72617114</v>
      </c>
      <c r="E8" s="296"/>
      <c r="F8" s="296"/>
      <c r="G8" s="295"/>
      <c r="H8" s="295"/>
      <c r="I8" s="295"/>
      <c r="J8" s="295"/>
    </row>
    <row r="9" spans="1:18" s="378" customFormat="1" x14ac:dyDescent="0.25">
      <c r="A9" s="182" t="s">
        <v>8</v>
      </c>
      <c r="B9" s="178"/>
      <c r="C9" s="174"/>
      <c r="E9" s="296"/>
      <c r="F9" s="296"/>
      <c r="G9" s="295"/>
      <c r="H9" s="295"/>
      <c r="I9" s="295"/>
      <c r="J9" s="295"/>
    </row>
    <row r="10" spans="1:18" s="378" customFormat="1" x14ac:dyDescent="0.25">
      <c r="A10" s="183" t="s">
        <v>190</v>
      </c>
      <c r="B10" s="178">
        <f>B40+B55+B70+B25</f>
        <v>44843130.976863757</v>
      </c>
      <c r="C10" s="178">
        <f>C40+C55+C70+C25</f>
        <v>18524595.063657928</v>
      </c>
      <c r="E10" s="296"/>
      <c r="F10" s="296"/>
      <c r="G10" s="295"/>
      <c r="H10" s="295"/>
      <c r="I10" s="295"/>
      <c r="J10" s="295"/>
    </row>
    <row r="11" spans="1:18" s="378" customFormat="1" x14ac:dyDescent="0.25">
      <c r="A11" s="183" t="s">
        <v>9</v>
      </c>
      <c r="B11" s="179"/>
      <c r="C11" s="175"/>
      <c r="E11" s="297"/>
      <c r="F11" s="298"/>
      <c r="G11" s="295"/>
      <c r="H11" s="295"/>
      <c r="I11" s="295"/>
      <c r="J11" s="295"/>
    </row>
    <row r="12" spans="1:18" s="378" customFormat="1" x14ac:dyDescent="0.25">
      <c r="A12" s="187" t="s">
        <v>4</v>
      </c>
      <c r="B12" s="188">
        <f>SUM(B7:B11)</f>
        <v>2508579627.432631</v>
      </c>
      <c r="C12" s="189">
        <f>SUM(C7:C11)</f>
        <v>733068461.78982902</v>
      </c>
      <c r="E12" s="299"/>
      <c r="F12" s="299"/>
      <c r="G12" s="295"/>
      <c r="H12" s="295"/>
      <c r="I12" s="295"/>
      <c r="J12" s="295"/>
    </row>
    <row r="13" spans="1:18" s="378" customFormat="1" x14ac:dyDescent="0.25">
      <c r="A13" s="183" t="s">
        <v>10</v>
      </c>
      <c r="B13" s="179">
        <f>B43+B58+B73+B28</f>
        <v>-190673402.72493574</v>
      </c>
      <c r="C13" s="179">
        <f>C43+C58+C73+C28</f>
        <v>-101119990.23448853</v>
      </c>
      <c r="E13" s="297"/>
      <c r="F13" s="298"/>
      <c r="G13" s="295"/>
      <c r="H13" s="295"/>
      <c r="I13" s="295"/>
      <c r="J13" s="295"/>
    </row>
    <row r="14" spans="1:18" s="378" customFormat="1" ht="15.75" thickBot="1" x14ac:dyDescent="0.3">
      <c r="A14" s="184" t="s">
        <v>169</v>
      </c>
      <c r="B14" s="185">
        <f>B12+B13</f>
        <v>2317906224.7076955</v>
      </c>
      <c r="C14" s="186">
        <f>C12+C13</f>
        <v>631948471.55534053</v>
      </c>
      <c r="E14" s="297"/>
      <c r="F14" s="297"/>
      <c r="G14" s="295"/>
      <c r="H14" s="295"/>
      <c r="I14" s="295"/>
      <c r="J14" s="295"/>
    </row>
    <row r="15" spans="1:18" s="378" customFormat="1" ht="15.75" thickBot="1" x14ac:dyDescent="0.3">
      <c r="A15" s="190" t="s">
        <v>11</v>
      </c>
      <c r="B15" s="191">
        <f>ABS(B12/B13)</f>
        <v>13.156421354956844</v>
      </c>
      <c r="C15" s="192">
        <f>ABS(C12/C13)</f>
        <v>7.2494910263530139</v>
      </c>
      <c r="E15" s="300"/>
      <c r="F15" s="300"/>
      <c r="G15" s="295"/>
      <c r="H15" s="295"/>
      <c r="I15" s="295"/>
      <c r="J15" s="295"/>
    </row>
    <row r="16" spans="1:18" s="378" customFormat="1" ht="18.75" x14ac:dyDescent="0.3">
      <c r="A16" s="452"/>
      <c r="B16" s="453"/>
      <c r="C16" s="453"/>
      <c r="D16" s="453"/>
      <c r="E16" s="454"/>
      <c r="F16" s="454"/>
      <c r="G16" s="454"/>
      <c r="H16" s="454"/>
      <c r="I16" s="454"/>
      <c r="J16" s="454"/>
      <c r="K16" s="453"/>
      <c r="L16" s="453"/>
      <c r="M16" s="453"/>
      <c r="N16" s="453"/>
      <c r="O16" s="453"/>
      <c r="P16" s="453"/>
      <c r="Q16" s="453"/>
      <c r="R16" s="453"/>
    </row>
    <row r="17" spans="1:18" s="378" customFormat="1" ht="18.75" x14ac:dyDescent="0.3">
      <c r="A17" s="562" t="s">
        <v>198</v>
      </c>
      <c r="B17" s="563"/>
      <c r="C17" s="563"/>
      <c r="D17" s="563"/>
      <c r="E17" s="502"/>
      <c r="F17" s="502"/>
      <c r="G17" s="502"/>
      <c r="H17" s="502"/>
      <c r="I17" s="502"/>
      <c r="J17" s="502"/>
    </row>
    <row r="18" spans="1:18" s="378" customFormat="1" ht="18.75" x14ac:dyDescent="0.3">
      <c r="A18" s="562" t="s">
        <v>122</v>
      </c>
      <c r="B18" s="563"/>
      <c r="C18" s="563"/>
      <c r="D18" s="563"/>
      <c r="E18" s="502"/>
      <c r="F18" s="502"/>
      <c r="G18" s="502"/>
      <c r="H18" s="502"/>
      <c r="I18" s="502"/>
      <c r="J18" s="502"/>
    </row>
    <row r="19" spans="1:18" s="378" customFormat="1" ht="15.75" thickBot="1" x14ac:dyDescent="0.3">
      <c r="E19" s="502"/>
      <c r="F19" s="502"/>
      <c r="G19" s="502"/>
      <c r="H19" s="502"/>
      <c r="I19" s="502"/>
      <c r="J19" s="502"/>
    </row>
    <row r="20" spans="1:18" s="378" customFormat="1" x14ac:dyDescent="0.25">
      <c r="A20" s="564" t="s">
        <v>0</v>
      </c>
      <c r="B20" s="566" t="s">
        <v>194</v>
      </c>
      <c r="C20" s="567"/>
      <c r="E20" s="502"/>
      <c r="F20" s="502"/>
      <c r="G20" s="502"/>
      <c r="H20" s="502"/>
      <c r="I20" s="502"/>
      <c r="J20" s="502"/>
    </row>
    <row r="21" spans="1:18" s="378" customFormat="1" ht="15.75" thickBot="1" x14ac:dyDescent="0.3">
      <c r="A21" s="565"/>
      <c r="B21" s="405" t="s">
        <v>170</v>
      </c>
      <c r="C21" s="15" t="s">
        <v>3</v>
      </c>
      <c r="E21" s="568"/>
      <c r="F21" s="568"/>
      <c r="G21" s="502"/>
      <c r="H21" s="502"/>
      <c r="I21" s="502"/>
      <c r="J21" s="502"/>
    </row>
    <row r="22" spans="1:18" s="378" customFormat="1" x14ac:dyDescent="0.25">
      <c r="A22" s="503" t="s">
        <v>5</v>
      </c>
      <c r="B22" s="504"/>
      <c r="C22" s="505"/>
      <c r="E22" s="506"/>
      <c r="F22" s="506"/>
      <c r="G22" s="502"/>
      <c r="H22" s="502"/>
      <c r="I22" s="502"/>
      <c r="J22" s="502"/>
    </row>
    <row r="23" spans="1:18" s="378" customFormat="1" x14ac:dyDescent="0.25">
      <c r="A23" s="507" t="s">
        <v>6</v>
      </c>
      <c r="B23" s="508">
        <f>'Accidents-Solano'!H169</f>
        <v>932342667.98680151</v>
      </c>
      <c r="C23" s="509">
        <f>'Accidents-Solano'!I169</f>
        <v>250916796.86300343</v>
      </c>
      <c r="E23" s="506"/>
      <c r="F23" s="506"/>
      <c r="G23" s="502"/>
      <c r="H23" s="502"/>
      <c r="I23" s="502"/>
      <c r="J23" s="502"/>
    </row>
    <row r="24" spans="1:18" s="378" customFormat="1" x14ac:dyDescent="0.25">
      <c r="A24" s="182" t="s">
        <v>8</v>
      </c>
      <c r="B24" s="508"/>
      <c r="C24" s="509"/>
      <c r="E24" s="506"/>
      <c r="F24" s="506"/>
      <c r="G24" s="502"/>
      <c r="H24" s="502"/>
      <c r="I24" s="502"/>
      <c r="J24" s="502"/>
    </row>
    <row r="25" spans="1:18" s="378" customFormat="1" x14ac:dyDescent="0.25">
      <c r="A25" s="183" t="s">
        <v>190</v>
      </c>
      <c r="B25" s="508">
        <f>'Cost-Solano'!D54</f>
        <v>9276190</v>
      </c>
      <c r="C25" s="509">
        <f>'Cost-Solano'!D55</f>
        <v>5045632.7436216483</v>
      </c>
      <c r="E25" s="506"/>
      <c r="F25" s="506"/>
      <c r="G25" s="502"/>
      <c r="H25" s="502"/>
      <c r="I25" s="502"/>
      <c r="J25" s="502"/>
    </row>
    <row r="26" spans="1:18" s="378" customFormat="1" x14ac:dyDescent="0.25">
      <c r="A26" s="183" t="s">
        <v>9</v>
      </c>
      <c r="B26" s="510"/>
      <c r="C26" s="473"/>
      <c r="E26" s="511"/>
      <c r="F26" s="512"/>
      <c r="G26" s="502"/>
      <c r="H26" s="502"/>
      <c r="I26" s="502"/>
      <c r="J26" s="502"/>
    </row>
    <row r="27" spans="1:18" s="378" customFormat="1" x14ac:dyDescent="0.25">
      <c r="A27" s="187" t="s">
        <v>4</v>
      </c>
      <c r="B27" s="188">
        <f>SUM(B22:B26)</f>
        <v>941618857.98680151</v>
      </c>
      <c r="C27" s="189">
        <f>SUM(C22:C26)</f>
        <v>255962429.60662508</v>
      </c>
      <c r="E27" s="513"/>
      <c r="F27" s="513"/>
      <c r="G27" s="502"/>
      <c r="H27" s="502"/>
      <c r="I27" s="502"/>
      <c r="J27" s="502"/>
    </row>
    <row r="28" spans="1:18" s="378" customFormat="1" x14ac:dyDescent="0.25">
      <c r="A28" s="183" t="s">
        <v>10</v>
      </c>
      <c r="B28" s="510">
        <f>-'Cost-Solano'!H46</f>
        <v>-59030300</v>
      </c>
      <c r="C28" s="473">
        <f>-'Cost-Solano'!I46</f>
        <v>-31411141.33383235</v>
      </c>
      <c r="E28" s="511"/>
      <c r="F28" s="512"/>
      <c r="G28" s="502"/>
      <c r="H28" s="502"/>
      <c r="I28" s="502"/>
      <c r="J28" s="502"/>
    </row>
    <row r="29" spans="1:18" s="378" customFormat="1" ht="15.75" thickBot="1" x14ac:dyDescent="0.3">
      <c r="A29" s="184" t="s">
        <v>169</v>
      </c>
      <c r="B29" s="514">
        <f>B27+B28</f>
        <v>882588557.98680151</v>
      </c>
      <c r="C29" s="515">
        <f>C27+C28</f>
        <v>224551288.27279273</v>
      </c>
      <c r="E29" s="511"/>
      <c r="F29" s="511"/>
      <c r="G29" s="502"/>
      <c r="H29" s="502"/>
      <c r="I29" s="502"/>
      <c r="J29" s="502"/>
    </row>
    <row r="30" spans="1:18" s="378" customFormat="1" ht="15.75" thickBot="1" x14ac:dyDescent="0.3">
      <c r="A30" s="190" t="s">
        <v>11</v>
      </c>
      <c r="B30" s="191">
        <f>ABS(B27/B28)</f>
        <v>15.951449645128037</v>
      </c>
      <c r="C30" s="192">
        <f>ABS(C27/C28)</f>
        <v>8.1487783868245742</v>
      </c>
      <c r="E30" s="516"/>
      <c r="F30" s="516"/>
      <c r="G30" s="502"/>
      <c r="H30" s="502"/>
      <c r="I30" s="502"/>
      <c r="J30" s="502"/>
    </row>
    <row r="31" spans="1:18" s="378" customFormat="1" ht="18.75" x14ac:dyDescent="0.3">
      <c r="A31" s="452"/>
      <c r="B31" s="453"/>
      <c r="C31" s="453"/>
      <c r="D31" s="453"/>
      <c r="E31" s="454"/>
      <c r="F31" s="454"/>
      <c r="G31" s="454"/>
      <c r="H31" s="454"/>
      <c r="I31" s="454"/>
      <c r="J31" s="454"/>
      <c r="K31" s="453"/>
      <c r="L31" s="453"/>
      <c r="M31" s="453"/>
      <c r="N31" s="453"/>
      <c r="O31" s="453"/>
      <c r="P31" s="453"/>
      <c r="Q31" s="453"/>
      <c r="R31" s="453"/>
    </row>
    <row r="32" spans="1:18" s="378" customFormat="1" ht="18.75" x14ac:dyDescent="0.3">
      <c r="A32" s="569" t="s">
        <v>184</v>
      </c>
      <c r="B32" s="569"/>
      <c r="C32" s="569"/>
      <c r="D32" s="569"/>
      <c r="E32" s="454"/>
      <c r="F32" s="454"/>
      <c r="G32" s="454"/>
      <c r="H32" s="454"/>
      <c r="I32" s="454"/>
      <c r="J32" s="454"/>
      <c r="K32" s="453"/>
      <c r="L32" s="453"/>
      <c r="M32" s="453"/>
      <c r="N32" s="453"/>
      <c r="O32" s="453"/>
      <c r="P32" s="453"/>
      <c r="Q32" s="453"/>
      <c r="R32" s="453"/>
    </row>
    <row r="33" spans="1:18" ht="18.75" x14ac:dyDescent="0.3">
      <c r="A33" s="569" t="s">
        <v>122</v>
      </c>
      <c r="B33" s="570"/>
      <c r="C33" s="570"/>
      <c r="D33" s="570"/>
      <c r="E33" s="294"/>
      <c r="F33" s="294"/>
      <c r="G33" s="294"/>
      <c r="H33" s="294"/>
      <c r="I33" s="294"/>
      <c r="J33" s="294"/>
      <c r="K33" s="62"/>
      <c r="L33" s="62"/>
      <c r="M33" s="62"/>
      <c r="N33" s="62"/>
      <c r="O33" s="62"/>
      <c r="P33" s="62"/>
      <c r="Q33" s="62"/>
      <c r="R33" s="62"/>
    </row>
    <row r="34" spans="1:18" ht="15.75" thickBot="1" x14ac:dyDescent="0.3"/>
    <row r="35" spans="1:18" x14ac:dyDescent="0.25">
      <c r="A35" s="564" t="s">
        <v>0</v>
      </c>
      <c r="B35" s="566" t="s">
        <v>196</v>
      </c>
      <c r="C35" s="567"/>
      <c r="D35" s="52"/>
      <c r="K35" s="52"/>
      <c r="L35" s="52"/>
      <c r="M35" s="52"/>
      <c r="P35" s="52"/>
      <c r="Q35" s="52"/>
      <c r="R35" s="52"/>
    </row>
    <row r="36" spans="1:18" ht="15.75" thickBot="1" x14ac:dyDescent="0.3">
      <c r="A36" s="565"/>
      <c r="B36" s="103" t="s">
        <v>170</v>
      </c>
      <c r="C36" s="15" t="s">
        <v>3</v>
      </c>
      <c r="D36" s="52"/>
      <c r="E36" s="561"/>
      <c r="F36" s="561"/>
      <c r="K36" s="52"/>
      <c r="L36" s="52"/>
      <c r="M36" s="52"/>
      <c r="P36" s="52"/>
      <c r="Q36" s="52"/>
      <c r="R36" s="52"/>
    </row>
    <row r="37" spans="1:18" x14ac:dyDescent="0.25">
      <c r="A37" s="180" t="s">
        <v>5</v>
      </c>
      <c r="B37" s="177"/>
      <c r="C37" s="176"/>
      <c r="E37" s="296"/>
      <c r="F37" s="296"/>
    </row>
    <row r="38" spans="1:18" x14ac:dyDescent="0.25">
      <c r="A38" s="181" t="s">
        <v>6</v>
      </c>
      <c r="B38" s="178">
        <f>'Prevented Accident Savings-Stor'!H169</f>
        <v>617660930.62022662</v>
      </c>
      <c r="C38" s="174">
        <f>'Prevented Accident Savings-Stor'!I169</f>
        <v>181274237.57993054</v>
      </c>
      <c r="E38" s="296"/>
      <c r="F38" s="296"/>
    </row>
    <row r="39" spans="1:18" x14ac:dyDescent="0.25">
      <c r="A39" s="182" t="s">
        <v>8</v>
      </c>
      <c r="B39" s="178"/>
      <c r="C39" s="174"/>
      <c r="E39" s="296"/>
      <c r="F39" s="296"/>
    </row>
    <row r="40" spans="1:18" x14ac:dyDescent="0.25">
      <c r="A40" s="183" t="s">
        <v>190</v>
      </c>
      <c r="B40" s="178">
        <f>'Project Cost-Storm'!D54</f>
        <v>10660440</v>
      </c>
      <c r="C40" s="174">
        <f>'Project Cost-Storm'!D55</f>
        <v>1400431.2703994755</v>
      </c>
      <c r="E40" s="296"/>
      <c r="F40" s="296"/>
    </row>
    <row r="41" spans="1:18" x14ac:dyDescent="0.25">
      <c r="A41" s="183" t="s">
        <v>9</v>
      </c>
      <c r="B41" s="179"/>
      <c r="C41" s="175"/>
      <c r="E41" s="297"/>
      <c r="F41" s="298"/>
    </row>
    <row r="42" spans="1:18" x14ac:dyDescent="0.25">
      <c r="A42" s="187" t="s">
        <v>4</v>
      </c>
      <c r="B42" s="188">
        <f>SUM(B37:B41)</f>
        <v>628321370.62022662</v>
      </c>
      <c r="C42" s="189">
        <f>SUM(C37:C41)</f>
        <v>182674668.85033002</v>
      </c>
      <c r="E42" s="299"/>
      <c r="F42" s="299"/>
    </row>
    <row r="43" spans="1:18" x14ac:dyDescent="0.25">
      <c r="A43" s="183" t="s">
        <v>10</v>
      </c>
      <c r="B43" s="179">
        <f>-'Project Cost-Storm'!H46</f>
        <v>-21320880</v>
      </c>
      <c r="C43" s="175">
        <f>-'Project Cost-Storm'!I46</f>
        <v>-16926308.63304228</v>
      </c>
      <c r="E43" s="297"/>
      <c r="F43" s="298"/>
    </row>
    <row r="44" spans="1:18" ht="15.75" thickBot="1" x14ac:dyDescent="0.3">
      <c r="A44" s="184" t="s">
        <v>169</v>
      </c>
      <c r="B44" s="185">
        <f>B42+B43</f>
        <v>607000490.62022662</v>
      </c>
      <c r="C44" s="186">
        <f>C42+C43</f>
        <v>165748360.21728775</v>
      </c>
      <c r="E44" s="297"/>
      <c r="F44" s="297"/>
    </row>
    <row r="45" spans="1:18" ht="15.75" thickBot="1" x14ac:dyDescent="0.3">
      <c r="A45" s="190" t="s">
        <v>11</v>
      </c>
      <c r="B45" s="191">
        <f>ABS(B42/B43)</f>
        <v>29.469767224440389</v>
      </c>
      <c r="C45" s="192">
        <f>ABS(C42/C43)</f>
        <v>10.792351292338257</v>
      </c>
      <c r="E45" s="300"/>
      <c r="F45" s="300"/>
    </row>
    <row r="47" spans="1:18" s="378" customFormat="1" ht="18.75" x14ac:dyDescent="0.3">
      <c r="A47" s="562" t="s">
        <v>193</v>
      </c>
      <c r="B47" s="563"/>
      <c r="C47" s="563"/>
      <c r="D47" s="563"/>
      <c r="E47" s="502"/>
      <c r="F47" s="502"/>
      <c r="G47" s="502"/>
      <c r="H47" s="502"/>
      <c r="I47" s="502"/>
      <c r="J47" s="502"/>
    </row>
    <row r="48" spans="1:18" s="378" customFormat="1" ht="18.75" x14ac:dyDescent="0.3">
      <c r="A48" s="562" t="s">
        <v>122</v>
      </c>
      <c r="B48" s="563"/>
      <c r="C48" s="563"/>
      <c r="D48" s="563"/>
      <c r="E48" s="502"/>
      <c r="F48" s="502"/>
      <c r="G48" s="502"/>
      <c r="H48" s="502"/>
      <c r="I48" s="502"/>
      <c r="J48" s="502"/>
    </row>
    <row r="49" spans="1:10" s="378" customFormat="1" ht="15.75" thickBot="1" x14ac:dyDescent="0.3">
      <c r="E49" s="502"/>
      <c r="F49" s="502"/>
      <c r="G49" s="502"/>
      <c r="H49" s="502"/>
      <c r="I49" s="502"/>
      <c r="J49" s="502"/>
    </row>
    <row r="50" spans="1:10" s="378" customFormat="1" x14ac:dyDescent="0.25">
      <c r="A50" s="564" t="s">
        <v>0</v>
      </c>
      <c r="B50" s="566" t="s">
        <v>194</v>
      </c>
      <c r="C50" s="567"/>
      <c r="E50" s="502"/>
      <c r="F50" s="502"/>
      <c r="G50" s="502"/>
      <c r="H50" s="502"/>
      <c r="I50" s="502"/>
      <c r="J50" s="502"/>
    </row>
    <row r="51" spans="1:10" s="378" customFormat="1" ht="15.75" thickBot="1" x14ac:dyDescent="0.3">
      <c r="A51" s="565"/>
      <c r="B51" s="405" t="s">
        <v>170</v>
      </c>
      <c r="C51" s="15" t="s">
        <v>3</v>
      </c>
      <c r="E51" s="568"/>
      <c r="F51" s="568"/>
      <c r="G51" s="502"/>
      <c r="H51" s="502"/>
      <c r="I51" s="502"/>
      <c r="J51" s="502"/>
    </row>
    <row r="52" spans="1:10" s="378" customFormat="1" x14ac:dyDescent="0.25">
      <c r="A52" s="503" t="s">
        <v>5</v>
      </c>
      <c r="B52" s="504"/>
      <c r="C52" s="505"/>
      <c r="E52" s="506"/>
      <c r="F52" s="506"/>
      <c r="G52" s="502"/>
      <c r="H52" s="502"/>
      <c r="I52" s="502"/>
      <c r="J52" s="502"/>
    </row>
    <row r="53" spans="1:10" s="378" customFormat="1" x14ac:dyDescent="0.25">
      <c r="A53" s="507" t="s">
        <v>6</v>
      </c>
      <c r="B53" s="508">
        <f>'Accidents-Alcosta'!H167</f>
        <v>527450608.74619317</v>
      </c>
      <c r="C53" s="509">
        <f>'Accidents-Alcosta'!I167</f>
        <v>158590313.77213198</v>
      </c>
      <c r="E53" s="506"/>
      <c r="F53" s="506"/>
      <c r="G53" s="502"/>
      <c r="H53" s="502"/>
      <c r="I53" s="502"/>
      <c r="J53" s="502"/>
    </row>
    <row r="54" spans="1:10" s="378" customFormat="1" x14ac:dyDescent="0.25">
      <c r="A54" s="182" t="s">
        <v>8</v>
      </c>
      <c r="B54" s="508"/>
      <c r="C54" s="509"/>
      <c r="E54" s="506"/>
      <c r="F54" s="506"/>
      <c r="G54" s="502"/>
      <c r="H54" s="502"/>
      <c r="I54" s="502"/>
      <c r="J54" s="502"/>
    </row>
    <row r="55" spans="1:10" s="378" customFormat="1" x14ac:dyDescent="0.25">
      <c r="A55" s="183" t="s">
        <v>190</v>
      </c>
      <c r="B55" s="508">
        <f>'Cost-Alcosta'!D54</f>
        <v>18667040</v>
      </c>
      <c r="C55" s="509">
        <f>'Cost-Alcosta'!D55</f>
        <v>9489376.5702504627</v>
      </c>
      <c r="E55" s="506"/>
      <c r="F55" s="506"/>
      <c r="G55" s="502"/>
      <c r="H55" s="502"/>
      <c r="I55" s="502"/>
      <c r="J55" s="502"/>
    </row>
    <row r="56" spans="1:10" s="378" customFormat="1" x14ac:dyDescent="0.25">
      <c r="A56" s="183" t="s">
        <v>9</v>
      </c>
      <c r="B56" s="510"/>
      <c r="C56" s="473"/>
      <c r="E56" s="511"/>
      <c r="F56" s="512"/>
      <c r="G56" s="502"/>
      <c r="H56" s="502"/>
      <c r="I56" s="502"/>
      <c r="J56" s="502"/>
    </row>
    <row r="57" spans="1:10" s="378" customFormat="1" x14ac:dyDescent="0.25">
      <c r="A57" s="187" t="s">
        <v>4</v>
      </c>
      <c r="B57" s="188">
        <f>SUM(B52:B56)</f>
        <v>546117648.74619317</v>
      </c>
      <c r="C57" s="189">
        <f>SUM(C52:C56)</f>
        <v>168079690.34238243</v>
      </c>
      <c r="E57" s="513"/>
      <c r="F57" s="513"/>
      <c r="G57" s="502"/>
      <c r="H57" s="502"/>
      <c r="I57" s="502"/>
      <c r="J57" s="502"/>
    </row>
    <row r="58" spans="1:10" s="378" customFormat="1" x14ac:dyDescent="0.25">
      <c r="A58" s="183" t="s">
        <v>10</v>
      </c>
      <c r="B58" s="179">
        <f>-'Cost-Alcosta'!H46</f>
        <v>-74668160</v>
      </c>
      <c r="C58" s="175">
        <f>-'Cost-Alcosta'!I46</f>
        <v>-33902514.006728545</v>
      </c>
      <c r="E58" s="511"/>
      <c r="F58" s="512"/>
      <c r="G58" s="502"/>
      <c r="H58" s="502"/>
      <c r="I58" s="502"/>
      <c r="J58" s="502"/>
    </row>
    <row r="59" spans="1:10" s="378" customFormat="1" ht="15.75" thickBot="1" x14ac:dyDescent="0.3">
      <c r="A59" s="184" t="s">
        <v>169</v>
      </c>
      <c r="B59" s="514">
        <f>B57+B58</f>
        <v>471449488.74619317</v>
      </c>
      <c r="C59" s="515">
        <f>C57+C58</f>
        <v>134177176.33565389</v>
      </c>
      <c r="E59" s="511"/>
      <c r="F59" s="511"/>
      <c r="G59" s="502"/>
      <c r="H59" s="502"/>
      <c r="I59" s="502"/>
      <c r="J59" s="502"/>
    </row>
    <row r="60" spans="1:10" s="378" customFormat="1" ht="15.75" thickBot="1" x14ac:dyDescent="0.3">
      <c r="A60" s="190" t="s">
        <v>11</v>
      </c>
      <c r="B60" s="191">
        <f>ABS(B57/B58)</f>
        <v>7.3139293742633162</v>
      </c>
      <c r="C60" s="192">
        <f>ABS(C57/C58)</f>
        <v>4.9577352968285506</v>
      </c>
      <c r="E60" s="516"/>
      <c r="F60" s="516"/>
      <c r="G60" s="502"/>
      <c r="H60" s="502"/>
      <c r="I60" s="502"/>
      <c r="J60" s="502"/>
    </row>
    <row r="61" spans="1:10" x14ac:dyDescent="0.25">
      <c r="E61" s="571"/>
      <c r="F61" s="572"/>
      <c r="G61" s="572"/>
    </row>
    <row r="62" spans="1:10" s="378" customFormat="1" ht="18.75" x14ac:dyDescent="0.3">
      <c r="A62" s="562" t="s">
        <v>195</v>
      </c>
      <c r="B62" s="563"/>
      <c r="C62" s="563"/>
      <c r="D62" s="563"/>
      <c r="E62" s="571"/>
      <c r="F62" s="502"/>
      <c r="G62" s="502"/>
      <c r="H62" s="502"/>
      <c r="I62" s="502"/>
      <c r="J62" s="502"/>
    </row>
    <row r="63" spans="1:10" s="378" customFormat="1" ht="18.75" x14ac:dyDescent="0.3">
      <c r="A63" s="562" t="s">
        <v>122</v>
      </c>
      <c r="B63" s="563"/>
      <c r="C63" s="563"/>
      <c r="D63" s="563"/>
      <c r="E63" s="502"/>
      <c r="F63" s="502"/>
      <c r="G63" s="502"/>
      <c r="H63" s="502"/>
      <c r="I63" s="502"/>
      <c r="J63" s="502"/>
    </row>
    <row r="64" spans="1:10" s="378" customFormat="1" ht="15.75" thickBot="1" x14ac:dyDescent="0.3">
      <c r="E64" s="502"/>
      <c r="F64" s="502"/>
      <c r="G64" s="502"/>
      <c r="H64" s="502"/>
      <c r="I64" s="502"/>
      <c r="J64" s="502"/>
    </row>
    <row r="65" spans="1:10" s="378" customFormat="1" x14ac:dyDescent="0.25">
      <c r="A65" s="564" t="s">
        <v>0</v>
      </c>
      <c r="B65" s="566" t="s">
        <v>196</v>
      </c>
      <c r="C65" s="567"/>
      <c r="E65" s="502"/>
      <c r="F65" s="502"/>
      <c r="G65" s="502"/>
      <c r="H65" s="502"/>
      <c r="I65" s="502"/>
      <c r="J65" s="502"/>
    </row>
    <row r="66" spans="1:10" s="378" customFormat="1" ht="15.75" thickBot="1" x14ac:dyDescent="0.3">
      <c r="A66" s="565"/>
      <c r="B66" s="405" t="s">
        <v>170</v>
      </c>
      <c r="C66" s="15" t="s">
        <v>3</v>
      </c>
      <c r="E66" s="568"/>
      <c r="F66" s="568"/>
      <c r="G66" s="502"/>
      <c r="H66" s="502"/>
      <c r="I66" s="502"/>
      <c r="J66" s="502"/>
    </row>
    <row r="67" spans="1:10" s="378" customFormat="1" x14ac:dyDescent="0.25">
      <c r="A67" s="503" t="s">
        <v>5</v>
      </c>
      <c r="B67" s="504"/>
      <c r="C67" s="505"/>
      <c r="E67" s="506"/>
      <c r="F67" s="506"/>
      <c r="G67" s="502"/>
      <c r="H67" s="502"/>
      <c r="I67" s="502"/>
      <c r="J67" s="502"/>
    </row>
    <row r="68" spans="1:10" s="378" customFormat="1" x14ac:dyDescent="0.25">
      <c r="A68" s="507" t="s">
        <v>6</v>
      </c>
      <c r="B68" s="508">
        <f>'Accidents-Bridge'!H169</f>
        <v>386282289.10254592</v>
      </c>
      <c r="C68" s="509">
        <f>'Accidents-Bridge'!I169</f>
        <v>123762518.51110516</v>
      </c>
      <c r="E68" s="506"/>
      <c r="F68" s="506"/>
      <c r="G68" s="502"/>
      <c r="H68" s="502"/>
      <c r="I68" s="502"/>
      <c r="J68" s="502"/>
    </row>
    <row r="69" spans="1:10" s="378" customFormat="1" x14ac:dyDescent="0.25">
      <c r="A69" s="182" t="s">
        <v>8</v>
      </c>
      <c r="B69" s="508"/>
      <c r="C69" s="509"/>
      <c r="E69" s="506"/>
      <c r="F69" s="506"/>
      <c r="G69" s="502"/>
      <c r="H69" s="502"/>
      <c r="I69" s="502"/>
      <c r="J69" s="502"/>
    </row>
    <row r="70" spans="1:10" s="378" customFormat="1" x14ac:dyDescent="0.25">
      <c r="A70" s="183" t="s">
        <v>174</v>
      </c>
      <c r="B70" s="508">
        <f>'Cost-Bridge'!D54</f>
        <v>6239460.9768637531</v>
      </c>
      <c r="C70" s="509">
        <f>'Cost-Bridge'!D55</f>
        <v>2589154.4793863427</v>
      </c>
      <c r="E70" s="506"/>
      <c r="F70" s="506"/>
      <c r="G70" s="502"/>
      <c r="H70" s="502"/>
      <c r="I70" s="502"/>
      <c r="J70" s="502"/>
    </row>
    <row r="71" spans="1:10" s="378" customFormat="1" x14ac:dyDescent="0.25">
      <c r="A71" s="183" t="s">
        <v>9</v>
      </c>
      <c r="B71" s="510"/>
      <c r="C71" s="473"/>
      <c r="E71" s="511"/>
      <c r="F71" s="512"/>
      <c r="G71" s="502"/>
      <c r="H71" s="502"/>
      <c r="I71" s="502"/>
      <c r="J71" s="502"/>
    </row>
    <row r="72" spans="1:10" s="378" customFormat="1" x14ac:dyDescent="0.25">
      <c r="A72" s="187" t="s">
        <v>4</v>
      </c>
      <c r="B72" s="188">
        <f>SUM(B67:B71)</f>
        <v>392521750.07940966</v>
      </c>
      <c r="C72" s="189">
        <f>SUM(C67:C71)</f>
        <v>126351672.99049151</v>
      </c>
      <c r="E72" s="513"/>
      <c r="F72" s="513"/>
      <c r="G72" s="502"/>
      <c r="H72" s="502"/>
      <c r="I72" s="502"/>
      <c r="J72" s="502"/>
    </row>
    <row r="73" spans="1:10" s="378" customFormat="1" x14ac:dyDescent="0.25">
      <c r="A73" s="183" t="s">
        <v>10</v>
      </c>
      <c r="B73" s="510">
        <f>-'Cost-Bridge'!H46</f>
        <v>-35654062.724935733</v>
      </c>
      <c r="C73" s="473">
        <f>-'Cost-Bridge'!I46</f>
        <v>-18880026.260885358</v>
      </c>
      <c r="E73" s="511"/>
      <c r="F73" s="512"/>
      <c r="G73" s="502"/>
      <c r="H73" s="502"/>
      <c r="I73" s="502"/>
      <c r="J73" s="502"/>
    </row>
    <row r="74" spans="1:10" s="378" customFormat="1" ht="15.75" thickBot="1" x14ac:dyDescent="0.3">
      <c r="A74" s="184" t="s">
        <v>169</v>
      </c>
      <c r="B74" s="514">
        <f>B72+B73</f>
        <v>356867687.35447395</v>
      </c>
      <c r="C74" s="515">
        <f>C72+C73</f>
        <v>107471646.72960615</v>
      </c>
      <c r="E74" s="511"/>
      <c r="F74" s="511"/>
      <c r="G74" s="502"/>
      <c r="H74" s="502"/>
      <c r="I74" s="502"/>
      <c r="J74" s="502"/>
    </row>
    <row r="75" spans="1:10" s="378" customFormat="1" ht="15.75" thickBot="1" x14ac:dyDescent="0.3">
      <c r="A75" s="190" t="s">
        <v>11</v>
      </c>
      <c r="B75" s="191">
        <f>ABS(B72/B73)</f>
        <v>11.009173151111552</v>
      </c>
      <c r="C75" s="192">
        <f>ABS(C72/C73)</f>
        <v>6.6923462523068755</v>
      </c>
      <c r="E75" s="516"/>
      <c r="F75" s="516"/>
      <c r="G75" s="502"/>
      <c r="H75" s="502"/>
      <c r="I75" s="502"/>
      <c r="J75" s="502"/>
    </row>
    <row r="76" spans="1:10" s="378" customFormat="1" x14ac:dyDescent="0.25">
      <c r="E76" s="502"/>
      <c r="F76" s="502"/>
      <c r="G76" s="502"/>
      <c r="H76" s="502"/>
      <c r="I76" s="502"/>
      <c r="J76" s="502"/>
    </row>
    <row r="77" spans="1:10" x14ac:dyDescent="0.25">
      <c r="E77" s="303"/>
      <c r="F77" s="296"/>
      <c r="G77" s="296"/>
    </row>
    <row r="78" spans="1:10" x14ac:dyDescent="0.25">
      <c r="E78" s="304"/>
      <c r="F78" s="296"/>
      <c r="G78" s="296"/>
    </row>
    <row r="79" spans="1:10" x14ac:dyDescent="0.25">
      <c r="F79" s="296"/>
      <c r="G79" s="296"/>
    </row>
    <row r="80" spans="1:10" x14ac:dyDescent="0.25">
      <c r="F80" s="297"/>
      <c r="G80" s="298"/>
    </row>
    <row r="81" spans="5:7" x14ac:dyDescent="0.25">
      <c r="E81" s="302"/>
      <c r="F81" s="299"/>
      <c r="G81" s="299"/>
    </row>
    <row r="82" spans="5:7" x14ac:dyDescent="0.25">
      <c r="F82" s="297"/>
      <c r="G82" s="298"/>
    </row>
    <row r="83" spans="5:7" x14ac:dyDescent="0.25">
      <c r="F83" s="297"/>
      <c r="G83" s="297"/>
    </row>
    <row r="84" spans="5:7" x14ac:dyDescent="0.25">
      <c r="E84" s="302"/>
      <c r="F84" s="300"/>
      <c r="G84" s="300"/>
    </row>
    <row r="87" spans="5:7" x14ac:dyDescent="0.25">
      <c r="E87" s="571"/>
      <c r="F87" s="572"/>
      <c r="G87" s="572"/>
    </row>
    <row r="88" spans="5:7" x14ac:dyDescent="0.25">
      <c r="E88" s="571"/>
      <c r="F88" s="301"/>
      <c r="G88" s="302"/>
    </row>
    <row r="89" spans="5:7" x14ac:dyDescent="0.25">
      <c r="E89" s="303"/>
      <c r="F89" s="296"/>
      <c r="G89" s="296"/>
    </row>
    <row r="90" spans="5:7" x14ac:dyDescent="0.25">
      <c r="E90" s="303"/>
      <c r="F90" s="296"/>
      <c r="G90" s="296"/>
    </row>
    <row r="91" spans="5:7" x14ac:dyDescent="0.25">
      <c r="E91" s="304"/>
      <c r="F91" s="296"/>
      <c r="G91" s="296"/>
    </row>
    <row r="92" spans="5:7" x14ac:dyDescent="0.25">
      <c r="F92" s="296"/>
      <c r="G92" s="296"/>
    </row>
    <row r="93" spans="5:7" x14ac:dyDescent="0.25">
      <c r="F93" s="297"/>
      <c r="G93" s="298"/>
    </row>
    <row r="94" spans="5:7" x14ac:dyDescent="0.25">
      <c r="E94" s="302"/>
      <c r="F94" s="299"/>
      <c r="G94" s="299"/>
    </row>
    <row r="95" spans="5:7" x14ac:dyDescent="0.25">
      <c r="F95" s="297"/>
      <c r="G95" s="298"/>
    </row>
    <row r="96" spans="5:7" x14ac:dyDescent="0.25">
      <c r="F96" s="297"/>
      <c r="G96" s="297"/>
    </row>
    <row r="97" spans="5:7" x14ac:dyDescent="0.25">
      <c r="E97" s="302"/>
      <c r="F97" s="300"/>
      <c r="G97" s="300"/>
    </row>
    <row r="100" spans="5:7" x14ac:dyDescent="0.25">
      <c r="E100" s="571"/>
      <c r="F100" s="572"/>
      <c r="G100" s="572"/>
    </row>
    <row r="101" spans="5:7" x14ac:dyDescent="0.25">
      <c r="E101" s="571"/>
      <c r="F101" s="301"/>
      <c r="G101" s="302"/>
    </row>
    <row r="102" spans="5:7" x14ac:dyDescent="0.25">
      <c r="E102" s="303"/>
      <c r="F102" s="296"/>
      <c r="G102" s="296"/>
    </row>
    <row r="103" spans="5:7" x14ac:dyDescent="0.25">
      <c r="E103" s="303"/>
      <c r="F103" s="296"/>
      <c r="G103" s="296"/>
    </row>
    <row r="104" spans="5:7" x14ac:dyDescent="0.25">
      <c r="E104" s="304"/>
      <c r="F104" s="296"/>
      <c r="G104" s="296"/>
    </row>
    <row r="105" spans="5:7" x14ac:dyDescent="0.25">
      <c r="F105" s="296"/>
      <c r="G105" s="296"/>
    </row>
    <row r="106" spans="5:7" x14ac:dyDescent="0.25">
      <c r="F106" s="297"/>
      <c r="G106" s="298"/>
    </row>
    <row r="107" spans="5:7" x14ac:dyDescent="0.25">
      <c r="E107" s="302"/>
      <c r="F107" s="299"/>
      <c r="G107" s="299"/>
    </row>
    <row r="108" spans="5:7" x14ac:dyDescent="0.25">
      <c r="F108" s="297"/>
      <c r="G108" s="298"/>
    </row>
    <row r="109" spans="5:7" x14ac:dyDescent="0.25">
      <c r="F109" s="297"/>
      <c r="G109" s="297"/>
    </row>
    <row r="110" spans="5:7" x14ac:dyDescent="0.25">
      <c r="E110" s="302"/>
      <c r="F110" s="300"/>
      <c r="G110" s="300"/>
    </row>
    <row r="113" spans="5:7" x14ac:dyDescent="0.25">
      <c r="E113" s="571"/>
      <c r="F113" s="572"/>
      <c r="G113" s="572"/>
    </row>
    <row r="114" spans="5:7" x14ac:dyDescent="0.25">
      <c r="E114" s="571"/>
      <c r="F114" s="301"/>
      <c r="G114" s="302"/>
    </row>
    <row r="115" spans="5:7" x14ac:dyDescent="0.25">
      <c r="E115" s="303"/>
      <c r="F115" s="296"/>
      <c r="G115" s="296"/>
    </row>
    <row r="116" spans="5:7" x14ac:dyDescent="0.25">
      <c r="E116" s="303"/>
      <c r="F116" s="296"/>
      <c r="G116" s="296"/>
    </row>
    <row r="117" spans="5:7" x14ac:dyDescent="0.25">
      <c r="E117" s="304"/>
      <c r="F117" s="296"/>
      <c r="G117" s="296"/>
    </row>
    <row r="118" spans="5:7" x14ac:dyDescent="0.25">
      <c r="F118" s="296"/>
      <c r="G118" s="296"/>
    </row>
    <row r="119" spans="5:7" x14ac:dyDescent="0.25">
      <c r="F119" s="297"/>
      <c r="G119" s="298"/>
    </row>
    <row r="120" spans="5:7" x14ac:dyDescent="0.25">
      <c r="E120" s="302"/>
      <c r="F120" s="299"/>
      <c r="G120" s="299"/>
    </row>
    <row r="121" spans="5:7" x14ac:dyDescent="0.25">
      <c r="F121" s="297"/>
      <c r="G121" s="298"/>
    </row>
    <row r="122" spans="5:7" x14ac:dyDescent="0.25">
      <c r="F122" s="297"/>
      <c r="G122" s="297"/>
    </row>
    <row r="123" spans="5:7" x14ac:dyDescent="0.25">
      <c r="E123" s="302"/>
      <c r="F123" s="300"/>
      <c r="G123" s="300"/>
    </row>
  </sheetData>
  <mergeCells count="34">
    <mergeCell ref="E113:E114"/>
    <mergeCell ref="F113:G113"/>
    <mergeCell ref="E100:E101"/>
    <mergeCell ref="F100:G100"/>
    <mergeCell ref="A32:D32"/>
    <mergeCell ref="A33:D33"/>
    <mergeCell ref="E87:E88"/>
    <mergeCell ref="F87:G87"/>
    <mergeCell ref="A63:D63"/>
    <mergeCell ref="A65:A66"/>
    <mergeCell ref="B65:C65"/>
    <mergeCell ref="E66:F66"/>
    <mergeCell ref="A1:D1"/>
    <mergeCell ref="B35:C35"/>
    <mergeCell ref="A35:A36"/>
    <mergeCell ref="E36:F36"/>
    <mergeCell ref="E61:E62"/>
    <mergeCell ref="F61:G61"/>
    <mergeCell ref="A47:D47"/>
    <mergeCell ref="A48:D48"/>
    <mergeCell ref="A50:A51"/>
    <mergeCell ref="B50:C50"/>
    <mergeCell ref="E51:F51"/>
    <mergeCell ref="A62:D62"/>
    <mergeCell ref="A2:D2"/>
    <mergeCell ref="A3:D3"/>
    <mergeCell ref="A5:A6"/>
    <mergeCell ref="B5:C5"/>
    <mergeCell ref="E6:F6"/>
    <mergeCell ref="A17:D17"/>
    <mergeCell ref="A18:D18"/>
    <mergeCell ref="A20:A21"/>
    <mergeCell ref="B20:C20"/>
    <mergeCell ref="E21:F21"/>
  </mergeCells>
  <pageMargins left="0.7" right="0.7" top="0.75" bottom="0.75" header="0.3" footer="0.3"/>
  <pageSetup scale="72" orientation="landscape" horizontalDpi="300" verticalDpi="300" r:id="rId1"/>
  <headerFooter>
    <oddHeader>&amp;LBCA Analysis&amp;CI-680 Highway Preservation</oddHeader>
    <oddFooter>&amp;RPage 1 of 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6" tint="0.59999389629810485"/>
    <pageSetUpPr fitToPage="1"/>
  </sheetPr>
  <dimension ref="A1:X72"/>
  <sheetViews>
    <sheetView zoomScale="70" zoomScaleNormal="70" workbookViewId="0">
      <selection activeCell="Q83" sqref="Q83:Q84"/>
    </sheetView>
  </sheetViews>
  <sheetFormatPr defaultColWidth="8.85546875" defaultRowHeight="15" x14ac:dyDescent="0.25"/>
  <cols>
    <col min="1" max="1" width="31.28515625" style="203" customWidth="1"/>
    <col min="2" max="2" width="11.140625" style="45" customWidth="1"/>
    <col min="3" max="3" width="13.85546875" style="45" customWidth="1"/>
    <col min="4" max="4" width="12" style="45" customWidth="1"/>
    <col min="5" max="5" width="10.5703125" style="45" customWidth="1"/>
    <col min="6" max="6" width="10.7109375" style="45" customWidth="1"/>
    <col min="7" max="7" width="9.28515625" style="45" customWidth="1"/>
    <col min="8" max="8" width="19.5703125" style="45" bestFit="1" customWidth="1"/>
    <col min="9" max="9" width="10.5703125" style="45" customWidth="1"/>
    <col min="10" max="11" width="9.28515625" style="45" customWidth="1"/>
    <col min="12" max="14" width="18.5703125" style="45" customWidth="1"/>
    <col min="15" max="15" width="8.85546875" style="45"/>
    <col min="16" max="16" width="18.5703125" style="45" customWidth="1"/>
    <col min="17" max="20" width="14.28515625" style="45" customWidth="1"/>
    <col min="21" max="21" width="8.85546875" style="45"/>
    <col min="22" max="22" width="16.28515625" style="45" customWidth="1"/>
    <col min="23" max="25" width="14.28515625" style="45" customWidth="1"/>
    <col min="26" max="26" width="8.85546875" style="45"/>
    <col min="27" max="27" width="16.28515625" style="45" customWidth="1"/>
    <col min="28" max="30" width="14.28515625" style="45" customWidth="1"/>
    <col min="31" max="16384" width="8.85546875" style="45"/>
  </cols>
  <sheetData>
    <row r="1" spans="1:24" ht="18.75" x14ac:dyDescent="0.3">
      <c r="A1" s="193" t="s">
        <v>127</v>
      </c>
    </row>
    <row r="3" spans="1:24" ht="14.45" customHeight="1" thickBot="1" x14ac:dyDescent="0.3">
      <c r="A3" s="612" t="s">
        <v>128</v>
      </c>
      <c r="B3" s="612"/>
      <c r="C3" s="612"/>
      <c r="D3" s="612"/>
      <c r="E3" s="613"/>
      <c r="F3" s="613"/>
    </row>
    <row r="4" spans="1:24" x14ac:dyDescent="0.25">
      <c r="A4" s="261"/>
      <c r="B4" s="614" t="s">
        <v>175</v>
      </c>
      <c r="C4" s="615"/>
      <c r="D4" s="615"/>
      <c r="E4" s="616"/>
    </row>
    <row r="5" spans="1:24" x14ac:dyDescent="0.25">
      <c r="A5" s="78"/>
      <c r="B5" s="204" t="s">
        <v>35</v>
      </c>
      <c r="C5" s="204" t="s">
        <v>36</v>
      </c>
      <c r="D5" s="204" t="s">
        <v>37</v>
      </c>
      <c r="E5" s="205" t="s">
        <v>154</v>
      </c>
    </row>
    <row r="6" spans="1:24" x14ac:dyDescent="0.25">
      <c r="A6" s="206" t="s">
        <v>39</v>
      </c>
      <c r="B6" s="207">
        <f>'Collision Data-Storm '!H45</f>
        <v>5.6084463201581579E-2</v>
      </c>
      <c r="C6" s="207">
        <f>'Collision Data-Storm '!I45</f>
        <v>3.2048264686618047E-2</v>
      </c>
      <c r="D6" s="207">
        <f>'Collision Data-Storm '!J45</f>
        <v>2.9674319154275971E-4</v>
      </c>
      <c r="E6" s="212"/>
    </row>
    <row r="7" spans="1:24" hidden="1" x14ac:dyDescent="0.25">
      <c r="A7" s="206" t="s">
        <v>41</v>
      </c>
      <c r="B7" s="207" t="e">
        <f>'Collision Data-Storm '!H60</f>
        <v>#DIV/0!</v>
      </c>
      <c r="C7" s="207" t="e">
        <f>'Collision Data-Storm '!I60</f>
        <v>#DIV/0!</v>
      </c>
      <c r="D7" s="207" t="e">
        <f>'Collision Data-Storm '!J60</f>
        <v>#DIV/0!</v>
      </c>
      <c r="E7" s="212"/>
    </row>
    <row r="8" spans="1:24" hidden="1" x14ac:dyDescent="0.25">
      <c r="A8" s="206" t="s">
        <v>43</v>
      </c>
      <c r="B8" s="207" t="e">
        <f>'Collision Data-Storm '!H69</f>
        <v>#DIV/0!</v>
      </c>
      <c r="C8" s="207" t="e">
        <f>'Collision Data-Storm '!I69</f>
        <v>#DIV/0!</v>
      </c>
      <c r="D8" s="207" t="e">
        <f>'Collision Data-Storm '!J69</f>
        <v>#DIV/0!</v>
      </c>
      <c r="E8" s="212"/>
    </row>
    <row r="9" spans="1:24" ht="30" x14ac:dyDescent="0.25">
      <c r="A9" s="206" t="s">
        <v>44</v>
      </c>
      <c r="B9" s="211"/>
      <c r="C9" s="281"/>
      <c r="D9" s="280"/>
      <c r="E9" s="539">
        <v>2.2000000000000002</v>
      </c>
    </row>
    <row r="10" spans="1:24" ht="30.75" thickBot="1" x14ac:dyDescent="0.3">
      <c r="A10" s="208" t="s">
        <v>45</v>
      </c>
      <c r="B10" s="282"/>
      <c r="C10" s="283"/>
      <c r="D10" s="283"/>
      <c r="E10" s="540">
        <v>1.3777777777777778</v>
      </c>
    </row>
    <row r="11" spans="1:24" x14ac:dyDescent="0.25">
      <c r="A11" s="209" t="s">
        <v>21</v>
      </c>
      <c r="B11" s="2" t="s">
        <v>46</v>
      </c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</row>
    <row r="12" spans="1:24" x14ac:dyDescent="0.25"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</row>
    <row r="13" spans="1:24" ht="15.75" thickBot="1" x14ac:dyDescent="0.3">
      <c r="A13" s="612" t="s">
        <v>131</v>
      </c>
      <c r="B13" s="612"/>
      <c r="C13" s="612"/>
      <c r="D13" s="612"/>
      <c r="E13" s="613"/>
      <c r="F13" s="613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4" x14ac:dyDescent="0.25">
      <c r="A14" s="200" t="s">
        <v>23</v>
      </c>
      <c r="B14" s="56" t="s">
        <v>24</v>
      </c>
      <c r="C14" s="56" t="s">
        <v>25</v>
      </c>
      <c r="D14" s="57" t="s">
        <v>26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</row>
    <row r="15" spans="1:24" ht="42.75" customHeight="1" x14ac:dyDescent="0.25">
      <c r="A15" s="206" t="s">
        <v>186</v>
      </c>
      <c r="B15" s="210">
        <v>0.5</v>
      </c>
      <c r="C15" s="280"/>
      <c r="D15" s="290" t="s">
        <v>188</v>
      </c>
      <c r="E15" s="45" t="s">
        <v>189</v>
      </c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4" ht="42.75" hidden="1" customHeight="1" x14ac:dyDescent="0.25">
      <c r="A16" s="206"/>
      <c r="B16" s="213"/>
      <c r="C16" s="280"/>
      <c r="D16" s="290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</row>
    <row r="17" spans="1:24" hidden="1" x14ac:dyDescent="0.25">
      <c r="A17" s="206"/>
      <c r="B17" s="213"/>
      <c r="C17" s="280"/>
      <c r="D17" s="290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</row>
    <row r="18" spans="1:24" hidden="1" x14ac:dyDescent="0.25">
      <c r="A18" s="206"/>
      <c r="B18" s="213"/>
      <c r="C18" s="280"/>
      <c r="D18" s="290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</row>
    <row r="19" spans="1:24" ht="15.75" hidden="1" thickBot="1" x14ac:dyDescent="0.3">
      <c r="A19" s="291"/>
      <c r="B19" s="292"/>
      <c r="C19" s="292"/>
      <c r="D19" s="293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</row>
    <row r="20" spans="1:24" x14ac:dyDescent="0.25"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</row>
    <row r="21" spans="1:24" ht="15.75" thickBot="1" x14ac:dyDescent="0.3">
      <c r="A21" s="612" t="s">
        <v>187</v>
      </c>
      <c r="B21" s="612"/>
      <c r="C21" s="612"/>
      <c r="D21" s="612"/>
      <c r="E21" s="613"/>
      <c r="F21" s="613"/>
    </row>
    <row r="22" spans="1:24" x14ac:dyDescent="0.25">
      <c r="A22" s="261"/>
      <c r="B22" s="617" t="s">
        <v>90</v>
      </c>
      <c r="C22" s="617"/>
      <c r="D22" s="617"/>
      <c r="E22" s="617"/>
      <c r="F22" s="617"/>
      <c r="G22" s="617"/>
      <c r="H22" s="617"/>
      <c r="I22" s="617"/>
      <c r="J22" s="214"/>
      <c r="L22" s="45" t="s">
        <v>176</v>
      </c>
      <c r="M22" s="45" t="s">
        <v>177</v>
      </c>
      <c r="N22" s="45" t="s">
        <v>178</v>
      </c>
      <c r="O22" s="346" t="s">
        <v>179</v>
      </c>
      <c r="P22" s="346" t="s">
        <v>180</v>
      </c>
      <c r="Q22" s="346" t="s">
        <v>181</v>
      </c>
      <c r="R22" s="346" t="s">
        <v>182</v>
      </c>
      <c r="S22" s="346" t="s">
        <v>183</v>
      </c>
    </row>
    <row r="23" spans="1:24" x14ac:dyDescent="0.25">
      <c r="A23" s="206" t="s">
        <v>27</v>
      </c>
      <c r="B23" s="284" t="s">
        <v>28</v>
      </c>
      <c r="C23" s="284" t="s">
        <v>29</v>
      </c>
      <c r="D23" s="284" t="s">
        <v>30</v>
      </c>
      <c r="E23" s="284" t="s">
        <v>31</v>
      </c>
      <c r="F23" s="284" t="s">
        <v>32</v>
      </c>
      <c r="G23" s="284" t="s">
        <v>33</v>
      </c>
      <c r="H23" s="284" t="s">
        <v>172</v>
      </c>
      <c r="I23" s="284" t="s">
        <v>34</v>
      </c>
      <c r="J23" s="285" t="s">
        <v>18</v>
      </c>
      <c r="L23" s="370" t="s">
        <v>28</v>
      </c>
      <c r="M23" s="370" t="s">
        <v>29</v>
      </c>
      <c r="N23" s="370" t="s">
        <v>30</v>
      </c>
      <c r="O23" s="370" t="s">
        <v>31</v>
      </c>
      <c r="P23" s="370" t="s">
        <v>32</v>
      </c>
      <c r="Q23" s="370" t="s">
        <v>33</v>
      </c>
      <c r="R23" s="370" t="s">
        <v>172</v>
      </c>
      <c r="S23" s="370" t="s">
        <v>34</v>
      </c>
      <c r="T23" s="371" t="s">
        <v>18</v>
      </c>
    </row>
    <row r="24" spans="1:24" hidden="1" x14ac:dyDescent="0.25">
      <c r="A24" s="206" t="s">
        <v>38</v>
      </c>
      <c r="B24" s="286"/>
      <c r="C24" s="286"/>
      <c r="D24" s="286"/>
      <c r="E24" s="286"/>
      <c r="F24" s="286"/>
      <c r="G24" s="286"/>
      <c r="H24" s="286"/>
      <c r="I24" s="286"/>
      <c r="J24" s="287">
        <f>SUM(C24:I24)</f>
        <v>0</v>
      </c>
    </row>
    <row r="25" spans="1:24" ht="15.75" thickBot="1" x14ac:dyDescent="0.3">
      <c r="A25" s="208" t="s">
        <v>40</v>
      </c>
      <c r="B25" s="442">
        <f>L25/$T$25</f>
        <v>1.3422818791946308E-2</v>
      </c>
      <c r="C25" s="442">
        <f t="shared" ref="C25:I25" si="0">M25/$T$25</f>
        <v>0.22483221476510068</v>
      </c>
      <c r="D25" s="442">
        <f t="shared" si="0"/>
        <v>0.43456375838926176</v>
      </c>
      <c r="E25" s="442">
        <f t="shared" si="0"/>
        <v>5.2013422818791948E-2</v>
      </c>
      <c r="F25" s="442">
        <f t="shared" si="0"/>
        <v>0.25838926174496646</v>
      </c>
      <c r="G25" s="442">
        <f t="shared" si="0"/>
        <v>1.3422818791946308E-2</v>
      </c>
      <c r="H25" s="442">
        <f t="shared" si="0"/>
        <v>1.6778523489932886E-3</v>
      </c>
      <c r="I25" s="442">
        <f t="shared" si="0"/>
        <v>1.6778523489932886E-3</v>
      </c>
      <c r="J25" s="289">
        <f>SUM(B25:I25)</f>
        <v>1</v>
      </c>
      <c r="L25" s="345">
        <v>8</v>
      </c>
      <c r="M25" s="344">
        <v>134</v>
      </c>
      <c r="N25" s="344">
        <v>259</v>
      </c>
      <c r="O25" s="344">
        <v>31</v>
      </c>
      <c r="P25" s="344">
        <v>154</v>
      </c>
      <c r="Q25" s="344">
        <v>8</v>
      </c>
      <c r="R25" s="344">
        <v>1</v>
      </c>
      <c r="S25" s="344">
        <v>1</v>
      </c>
      <c r="T25" s="344">
        <f>SUM(L25:S25)</f>
        <v>596</v>
      </c>
    </row>
    <row r="26" spans="1:24" ht="15.75" hidden="1" thickBot="1" x14ac:dyDescent="0.3">
      <c r="A26" s="288" t="s">
        <v>42</v>
      </c>
      <c r="B26" s="338"/>
      <c r="C26" s="338"/>
      <c r="D26" s="338"/>
      <c r="E26" s="338"/>
      <c r="F26" s="338"/>
      <c r="G26" s="338"/>
      <c r="H26" s="338"/>
      <c r="I26" s="338"/>
      <c r="J26" s="339">
        <f>SUM(C26:I26)</f>
        <v>0</v>
      </c>
    </row>
    <row r="28" spans="1:24" s="446" customFormat="1" x14ac:dyDescent="0.25">
      <c r="A28" s="449"/>
    </row>
    <row r="29" spans="1:24" ht="15.75" thickBot="1" x14ac:dyDescent="0.3">
      <c r="A29" s="612" t="s">
        <v>124</v>
      </c>
      <c r="B29" s="612"/>
      <c r="C29" s="612"/>
      <c r="D29" s="612"/>
      <c r="E29" s="613"/>
      <c r="F29" s="613"/>
    </row>
    <row r="30" spans="1:24" x14ac:dyDescent="0.25">
      <c r="A30" s="109" t="s">
        <v>51</v>
      </c>
      <c r="B30" s="214">
        <v>2027</v>
      </c>
    </row>
    <row r="31" spans="1:24" x14ac:dyDescent="0.25">
      <c r="A31" s="110" t="s">
        <v>125</v>
      </c>
      <c r="B31" s="212">
        <v>2057</v>
      </c>
      <c r="E31" s="215"/>
      <c r="F31" s="215"/>
      <c r="G31" s="215"/>
      <c r="H31" s="215"/>
    </row>
    <row r="32" spans="1:24" x14ac:dyDescent="0.25">
      <c r="A32" s="110" t="s">
        <v>52</v>
      </c>
      <c r="B32" s="212">
        <v>2016</v>
      </c>
      <c r="C32" s="215"/>
      <c r="L32" s="216"/>
    </row>
    <row r="33" spans="1:20" x14ac:dyDescent="0.25">
      <c r="A33" s="110" t="s">
        <v>53</v>
      </c>
      <c r="B33" s="212">
        <v>2019</v>
      </c>
      <c r="C33" s="215"/>
    </row>
    <row r="34" spans="1:20" x14ac:dyDescent="0.25">
      <c r="A34" s="110" t="s">
        <v>54</v>
      </c>
      <c r="B34" s="212">
        <v>2017</v>
      </c>
      <c r="C34" s="215"/>
    </row>
    <row r="35" spans="1:20" x14ac:dyDescent="0.25">
      <c r="A35" s="110" t="s">
        <v>55</v>
      </c>
      <c r="B35" s="212">
        <f>1+(B33-B32)</f>
        <v>4</v>
      </c>
      <c r="C35" s="215"/>
    </row>
    <row r="36" spans="1:20" ht="15.75" thickBot="1" x14ac:dyDescent="0.3">
      <c r="A36" s="202" t="s">
        <v>56</v>
      </c>
      <c r="B36" s="201">
        <v>0.01</v>
      </c>
      <c r="C36" s="45" t="s">
        <v>57</v>
      </c>
    </row>
    <row r="37" spans="1:20" x14ac:dyDescent="0.25">
      <c r="A37" s="49"/>
      <c r="B37" s="14"/>
    </row>
    <row r="38" spans="1:20" ht="38.25" thickBot="1" x14ac:dyDescent="0.35">
      <c r="A38" s="194" t="s">
        <v>149</v>
      </c>
      <c r="B38" s="216"/>
      <c r="C38" s="216"/>
      <c r="D38" s="216"/>
      <c r="E38" s="216"/>
      <c r="F38" s="216"/>
      <c r="G38" s="216"/>
      <c r="H38" s="216"/>
      <c r="I38" s="216"/>
      <c r="L38" s="13" t="s">
        <v>150</v>
      </c>
      <c r="N38" s="217"/>
      <c r="O38" s="217"/>
    </row>
    <row r="39" spans="1:20" ht="30" customHeight="1" x14ac:dyDescent="0.25">
      <c r="A39" s="594" t="s">
        <v>58</v>
      </c>
      <c r="B39" s="598" t="s">
        <v>59</v>
      </c>
      <c r="C39" s="596" t="s">
        <v>78</v>
      </c>
      <c r="D39" s="607" t="s">
        <v>60</v>
      </c>
      <c r="E39" s="601" t="s">
        <v>61</v>
      </c>
      <c r="F39" s="602"/>
      <c r="G39" s="603"/>
      <c r="H39" s="601" t="s">
        <v>62</v>
      </c>
      <c r="I39" s="602"/>
      <c r="J39" s="604"/>
      <c r="L39" s="605" t="s">
        <v>58</v>
      </c>
      <c r="M39" s="219" t="s">
        <v>132</v>
      </c>
      <c r="N39" s="541"/>
      <c r="O39" s="217"/>
      <c r="P39" s="220"/>
      <c r="Q39" s="600"/>
      <c r="R39" s="600"/>
      <c r="S39" s="600"/>
      <c r="T39" s="600"/>
    </row>
    <row r="40" spans="1:20" ht="15.75" thickBot="1" x14ac:dyDescent="0.3">
      <c r="A40" s="595"/>
      <c r="B40" s="599"/>
      <c r="C40" s="597"/>
      <c r="D40" s="608"/>
      <c r="E40" s="221" t="s">
        <v>35</v>
      </c>
      <c r="F40" s="221" t="s">
        <v>36</v>
      </c>
      <c r="G40" s="221" t="s">
        <v>37</v>
      </c>
      <c r="H40" s="221" t="s">
        <v>35</v>
      </c>
      <c r="I40" s="221" t="s">
        <v>36</v>
      </c>
      <c r="J40" s="222" t="s">
        <v>37</v>
      </c>
      <c r="L40" s="606"/>
      <c r="M40" s="545" t="s">
        <v>63</v>
      </c>
      <c r="N40" s="542"/>
      <c r="O40" s="217"/>
      <c r="P40" s="220"/>
    </row>
    <row r="41" spans="1:20" ht="39.75" thickBot="1" x14ac:dyDescent="0.3">
      <c r="A41" s="225" t="s">
        <v>185</v>
      </c>
      <c r="B41" s="226">
        <v>25</v>
      </c>
      <c r="C41" s="227">
        <v>188365</v>
      </c>
      <c r="D41" s="228">
        <f>ROUND(C41*(1+$B$36)^($B$34-$J$46),0)</f>
        <v>184653</v>
      </c>
      <c r="E41" s="226">
        <v>378</v>
      </c>
      <c r="F41" s="226">
        <v>216</v>
      </c>
      <c r="G41" s="226">
        <v>2</v>
      </c>
      <c r="H41" s="264">
        <f>E41*1000000/($B$35*365*$D41*($B41))</f>
        <v>5.6084463201581579E-2</v>
      </c>
      <c r="I41" s="264">
        <f>F41*1000000/($B$35*365*$D41*($B41))</f>
        <v>3.2048264686618047E-2</v>
      </c>
      <c r="J41" s="265">
        <f t="shared" ref="J41" si="1">G41*1000000/($B$35*365*$D41*($B41))</f>
        <v>2.9674319154275971E-4</v>
      </c>
      <c r="L41" s="225" t="str">
        <f>A41</f>
        <v>I-680 Alameda County Line to Waterfront Road</v>
      </c>
      <c r="M41" s="546">
        <f>ROUND(C41*(1+$B$36)^($B$30-$J$46),0)</f>
        <v>203972</v>
      </c>
      <c r="N41" s="543"/>
    </row>
    <row r="42" spans="1:20" ht="15.75" hidden="1" thickBot="1" x14ac:dyDescent="0.3">
      <c r="A42" s="225"/>
      <c r="B42" s="226"/>
      <c r="C42" s="227"/>
      <c r="D42" s="227"/>
      <c r="E42" s="226"/>
      <c r="F42" s="226"/>
      <c r="G42" s="226"/>
      <c r="H42" s="264"/>
      <c r="I42" s="264"/>
      <c r="J42" s="265"/>
      <c r="L42" s="225">
        <f>A42</f>
        <v>0</v>
      </c>
      <c r="M42" s="546">
        <f>ROUND(C42*(1+$B$36)^($B$30-$J$46),0)</f>
        <v>0</v>
      </c>
      <c r="N42" s="543"/>
    </row>
    <row r="43" spans="1:20" ht="15.75" hidden="1" thickBot="1" x14ac:dyDescent="0.3">
      <c r="A43" s="225"/>
      <c r="B43" s="226"/>
      <c r="C43" s="227"/>
      <c r="D43" s="227"/>
      <c r="E43" s="226"/>
      <c r="F43" s="226"/>
      <c r="G43" s="226"/>
      <c r="H43" s="264"/>
      <c r="I43" s="264"/>
      <c r="J43" s="265"/>
      <c r="L43" s="225">
        <f>A43</f>
        <v>0</v>
      </c>
      <c r="M43" s="546">
        <f>ROUND(C43*(1+$B$36)^($B$30-$J$46),0)</f>
        <v>0</v>
      </c>
      <c r="N43" s="543"/>
    </row>
    <row r="44" spans="1:20" ht="15.75" hidden="1" thickBot="1" x14ac:dyDescent="0.3">
      <c r="A44" s="232"/>
      <c r="B44" s="233"/>
      <c r="C44" s="234"/>
      <c r="D44" s="235"/>
      <c r="E44" s="226"/>
      <c r="F44" s="226"/>
      <c r="G44" s="226"/>
      <c r="H44" s="264"/>
      <c r="I44" s="264"/>
      <c r="J44" s="265"/>
      <c r="L44" s="225">
        <f>A44</f>
        <v>0</v>
      </c>
      <c r="M44" s="546">
        <f>ROUND(C44*(1+$B$36)^($B$30-$J$46),0)</f>
        <v>0</v>
      </c>
      <c r="N44" s="543"/>
    </row>
    <row r="45" spans="1:20" ht="24.75" customHeight="1" thickBot="1" x14ac:dyDescent="0.3">
      <c r="A45" s="236"/>
      <c r="B45" s="237">
        <f>SUM(B41:B44)</f>
        <v>25</v>
      </c>
      <c r="C45" s="237">
        <f t="shared" ref="C45:D45" si="2">SUM(C41:C44)</f>
        <v>188365</v>
      </c>
      <c r="D45" s="237">
        <f t="shared" si="2"/>
        <v>184653</v>
      </c>
      <c r="E45" s="238">
        <f>SUM(E41:E44)</f>
        <v>378</v>
      </c>
      <c r="F45" s="238">
        <f t="shared" ref="F45:G45" si="3">SUM(F41:F44)</f>
        <v>216</v>
      </c>
      <c r="G45" s="238">
        <f t="shared" si="3"/>
        <v>2</v>
      </c>
      <c r="H45" s="239">
        <f>SUM(H41:H44)</f>
        <v>5.6084463201581579E-2</v>
      </c>
      <c r="I45" s="239">
        <f t="shared" ref="I45:J45" si="4">SUM(I41:I44)</f>
        <v>3.2048264686618047E-2</v>
      </c>
      <c r="J45" s="239">
        <f t="shared" si="4"/>
        <v>2.9674319154275971E-4</v>
      </c>
      <c r="L45" s="547" t="s">
        <v>12</v>
      </c>
      <c r="M45" s="548">
        <f>SUM(M41:M44)</f>
        <v>203972</v>
      </c>
      <c r="N45" s="544"/>
    </row>
    <row r="46" spans="1:20" x14ac:dyDescent="0.25">
      <c r="A46" s="243" t="s">
        <v>64</v>
      </c>
      <c r="B46" s="549" t="s">
        <v>65</v>
      </c>
      <c r="C46" s="245"/>
      <c r="D46" s="245"/>
      <c r="E46" s="245"/>
      <c r="F46" s="245"/>
      <c r="G46" s="245"/>
      <c r="H46" s="246"/>
      <c r="I46" s="246" t="s">
        <v>66</v>
      </c>
      <c r="J46" s="247">
        <v>2019</v>
      </c>
    </row>
    <row r="47" spans="1:20" x14ac:dyDescent="0.25">
      <c r="A47" s="248" t="s">
        <v>67</v>
      </c>
      <c r="B47" s="245" t="s">
        <v>153</v>
      </c>
      <c r="C47" s="245"/>
      <c r="D47" s="245"/>
      <c r="E47" s="245"/>
      <c r="F47" s="245"/>
      <c r="G47" s="245"/>
      <c r="H47" s="246"/>
      <c r="I47" s="246"/>
      <c r="J47" s="247"/>
    </row>
    <row r="48" spans="1:20" x14ac:dyDescent="0.25">
      <c r="A48" s="249"/>
      <c r="B48" s="245"/>
      <c r="C48" s="245"/>
      <c r="D48" s="250"/>
      <c r="E48" s="245"/>
      <c r="F48" s="245"/>
      <c r="G48" s="245"/>
      <c r="H48" s="246"/>
      <c r="I48" s="246"/>
      <c r="J48" s="246"/>
    </row>
    <row r="49" spans="1:15" ht="19.5" hidden="1" thickBot="1" x14ac:dyDescent="0.35">
      <c r="A49" s="194" t="s">
        <v>152</v>
      </c>
      <c r="L49" s="13" t="s">
        <v>151</v>
      </c>
    </row>
    <row r="50" spans="1:15" ht="15" hidden="1" customHeight="1" x14ac:dyDescent="0.25">
      <c r="A50" s="594" t="s">
        <v>68</v>
      </c>
      <c r="B50" s="596" t="s">
        <v>59</v>
      </c>
      <c r="C50" s="596" t="s">
        <v>69</v>
      </c>
      <c r="D50" s="607" t="s">
        <v>60</v>
      </c>
      <c r="E50" s="601" t="s">
        <v>61</v>
      </c>
      <c r="F50" s="602"/>
      <c r="G50" s="603"/>
      <c r="H50" s="601" t="s">
        <v>70</v>
      </c>
      <c r="I50" s="602"/>
      <c r="J50" s="604"/>
      <c r="L50" s="605" t="s">
        <v>68</v>
      </c>
      <c r="M50" s="218" t="s">
        <v>132</v>
      </c>
      <c r="N50" s="219" t="s">
        <v>133</v>
      </c>
      <c r="O50" s="217"/>
    </row>
    <row r="51" spans="1:15" ht="15.75" hidden="1" thickBot="1" x14ac:dyDescent="0.3">
      <c r="A51" s="595"/>
      <c r="B51" s="597"/>
      <c r="C51" s="597"/>
      <c r="D51" s="608"/>
      <c r="E51" s="221" t="s">
        <v>35</v>
      </c>
      <c r="F51" s="221" t="s">
        <v>36</v>
      </c>
      <c r="G51" s="221" t="s">
        <v>37</v>
      </c>
      <c r="H51" s="221" t="s">
        <v>35</v>
      </c>
      <c r="I51" s="221" t="s">
        <v>36</v>
      </c>
      <c r="J51" s="222" t="s">
        <v>37</v>
      </c>
      <c r="L51" s="609"/>
      <c r="M51" s="223" t="s">
        <v>63</v>
      </c>
      <c r="N51" s="224" t="s">
        <v>63</v>
      </c>
      <c r="O51" s="217"/>
    </row>
    <row r="52" spans="1:15" ht="30" hidden="1" customHeight="1" x14ac:dyDescent="0.25">
      <c r="A52" s="225"/>
      <c r="B52" s="226"/>
      <c r="C52" s="251"/>
      <c r="D52" s="228"/>
      <c r="E52" s="280"/>
      <c r="F52" s="280"/>
      <c r="G52" s="280"/>
      <c r="H52" s="264"/>
      <c r="I52" s="264"/>
      <c r="J52" s="265"/>
      <c r="K52" s="215"/>
      <c r="L52" s="225">
        <f>A52</f>
        <v>0</v>
      </c>
      <c r="M52" s="228">
        <f>ROUND(C52*(1+$B$36)^($B$30-$J$61),0)</f>
        <v>0</v>
      </c>
      <c r="N52" s="229">
        <f>ROUND(C52*(1+$B$36)^($B$31-$J$61),0)</f>
        <v>0</v>
      </c>
    </row>
    <row r="53" spans="1:15" ht="30" hidden="1" customHeight="1" x14ac:dyDescent="0.25">
      <c r="A53" s="225"/>
      <c r="B53" s="226"/>
      <c r="C53" s="230"/>
      <c r="D53" s="230"/>
      <c r="E53" s="280"/>
      <c r="F53" s="280"/>
      <c r="G53" s="280"/>
      <c r="H53" s="264"/>
      <c r="I53" s="264"/>
      <c r="J53" s="265"/>
      <c r="K53" s="215"/>
      <c r="L53" s="225">
        <f>A53</f>
        <v>0</v>
      </c>
      <c r="M53" s="252">
        <f>ROUND(C53*(1+$B$36)^($B$30-$J$61),0)</f>
        <v>0</v>
      </c>
      <c r="N53" s="231">
        <f>ROUND(C53*(1+$B$36)^($B$31-$J$61),0)</f>
        <v>0</v>
      </c>
    </row>
    <row r="54" spans="1:15" ht="30" hidden="1" customHeight="1" x14ac:dyDescent="0.25">
      <c r="A54" s="225"/>
      <c r="B54" s="226"/>
      <c r="C54" s="230"/>
      <c r="D54" s="230"/>
      <c r="E54" s="280"/>
      <c r="F54" s="280"/>
      <c r="G54" s="280"/>
      <c r="H54" s="264"/>
      <c r="I54" s="264"/>
      <c r="J54" s="265"/>
      <c r="K54" s="215"/>
      <c r="L54" s="225">
        <f>A54</f>
        <v>0</v>
      </c>
      <c r="M54" s="252">
        <f>ROUND(C54*(1+$B$36)^($B$30-$J$61),0)</f>
        <v>0</v>
      </c>
      <c r="N54" s="231">
        <f>ROUND(C54*(1+$B$36)^($B$31-$J$61),0)</f>
        <v>0</v>
      </c>
    </row>
    <row r="55" spans="1:15" ht="30" hidden="1" customHeight="1" x14ac:dyDescent="0.25">
      <c r="A55" s="225"/>
      <c r="B55" s="226"/>
      <c r="C55" s="230"/>
      <c r="D55" s="230"/>
      <c r="E55" s="280"/>
      <c r="F55" s="280"/>
      <c r="G55" s="280"/>
      <c r="H55" s="264"/>
      <c r="I55" s="264"/>
      <c r="J55" s="265"/>
      <c r="K55" s="215"/>
      <c r="L55" s="225">
        <f t="shared" ref="L55:L59" si="5">A55</f>
        <v>0</v>
      </c>
      <c r="M55" s="252">
        <f t="shared" ref="M55:M59" si="6">ROUND(C55*(1+$B$36)^($B$30-$J$61),0)</f>
        <v>0</v>
      </c>
      <c r="N55" s="231">
        <f t="shared" ref="N55:N59" si="7">ROUND(C55*(1+$B$36)^($B$31-$J$61),0)</f>
        <v>0</v>
      </c>
    </row>
    <row r="56" spans="1:15" ht="30" hidden="1" customHeight="1" x14ac:dyDescent="0.25">
      <c r="A56" s="225"/>
      <c r="B56" s="226"/>
      <c r="C56" s="230"/>
      <c r="D56" s="230"/>
      <c r="E56" s="280"/>
      <c r="F56" s="280"/>
      <c r="G56" s="280"/>
      <c r="H56" s="264"/>
      <c r="I56" s="264"/>
      <c r="J56" s="265"/>
      <c r="K56" s="215"/>
      <c r="L56" s="225">
        <f t="shared" si="5"/>
        <v>0</v>
      </c>
      <c r="M56" s="252">
        <f t="shared" si="6"/>
        <v>0</v>
      </c>
      <c r="N56" s="231">
        <f t="shared" si="7"/>
        <v>0</v>
      </c>
    </row>
    <row r="57" spans="1:15" ht="30" hidden="1" customHeight="1" x14ac:dyDescent="0.25">
      <c r="A57" s="225"/>
      <c r="B57" s="226"/>
      <c r="C57" s="230"/>
      <c r="D57" s="230"/>
      <c r="E57" s="280"/>
      <c r="F57" s="280"/>
      <c r="G57" s="280"/>
      <c r="H57" s="264"/>
      <c r="I57" s="264"/>
      <c r="J57" s="265"/>
      <c r="K57" s="215"/>
      <c r="L57" s="225">
        <f t="shared" si="5"/>
        <v>0</v>
      </c>
      <c r="M57" s="252">
        <f t="shared" si="6"/>
        <v>0</v>
      </c>
      <c r="N57" s="231">
        <f t="shared" si="7"/>
        <v>0</v>
      </c>
    </row>
    <row r="58" spans="1:15" ht="30" hidden="1" customHeight="1" x14ac:dyDescent="0.25">
      <c r="A58" s="225"/>
      <c r="B58" s="226"/>
      <c r="C58" s="230"/>
      <c r="D58" s="230"/>
      <c r="E58" s="280"/>
      <c r="F58" s="280"/>
      <c r="G58" s="280"/>
      <c r="H58" s="264"/>
      <c r="I58" s="264"/>
      <c r="J58" s="265"/>
      <c r="K58" s="215"/>
      <c r="L58" s="225">
        <f t="shared" si="5"/>
        <v>0</v>
      </c>
      <c r="M58" s="252">
        <f t="shared" si="6"/>
        <v>0</v>
      </c>
      <c r="N58" s="231">
        <f t="shared" si="7"/>
        <v>0</v>
      </c>
    </row>
    <row r="59" spans="1:15" ht="30" hidden="1" customHeight="1" thickBot="1" x14ac:dyDescent="0.3">
      <c r="A59" s="225"/>
      <c r="B59" s="226"/>
      <c r="C59" s="230"/>
      <c r="D59" s="230"/>
      <c r="E59" s="280"/>
      <c r="F59" s="280"/>
      <c r="G59" s="280"/>
      <c r="H59" s="264"/>
      <c r="I59" s="264"/>
      <c r="J59" s="265"/>
      <c r="K59" s="215"/>
      <c r="L59" s="225">
        <f t="shared" si="5"/>
        <v>0</v>
      </c>
      <c r="M59" s="252">
        <f t="shared" si="6"/>
        <v>0</v>
      </c>
      <c r="N59" s="231">
        <f t="shared" si="7"/>
        <v>0</v>
      </c>
    </row>
    <row r="60" spans="1:15" ht="24" hidden="1" customHeight="1" thickBot="1" x14ac:dyDescent="0.3">
      <c r="A60" s="253" t="s">
        <v>12</v>
      </c>
      <c r="B60" s="237">
        <f>SUM(B52:B59)</f>
        <v>0</v>
      </c>
      <c r="C60" s="254">
        <f>SUM(C52:C57)</f>
        <v>0</v>
      </c>
      <c r="D60" s="254">
        <f>SUM(D52:D57)</f>
        <v>0</v>
      </c>
      <c r="E60" s="238">
        <f>SUM(E52:E57)</f>
        <v>0</v>
      </c>
      <c r="F60" s="238">
        <f>SUM(F52:F57)</f>
        <v>0</v>
      </c>
      <c r="G60" s="238">
        <f>SUM(G52:G57)</f>
        <v>0</v>
      </c>
      <c r="H60" s="239" t="e">
        <f>E60*1000000/(11.33*365*$C60*$B60)</f>
        <v>#DIV/0!</v>
      </c>
      <c r="I60" s="239" t="e">
        <f t="shared" ref="I60:J60" si="8">F60*1000000/(11.33*365*$C60*$B60)</f>
        <v>#DIV/0!</v>
      </c>
      <c r="J60" s="240" t="e">
        <f t="shared" si="8"/>
        <v>#DIV/0!</v>
      </c>
      <c r="L60" s="236" t="s">
        <v>12</v>
      </c>
      <c r="M60" s="241">
        <f>SUM(M52:M59)</f>
        <v>0</v>
      </c>
      <c r="N60" s="242">
        <f>SUM(N52:N59)</f>
        <v>0</v>
      </c>
    </row>
    <row r="61" spans="1:15" hidden="1" x14ac:dyDescent="0.25">
      <c r="A61" s="243" t="s">
        <v>64</v>
      </c>
      <c r="B61" s="244" t="s">
        <v>65</v>
      </c>
      <c r="C61" s="245"/>
      <c r="D61" s="245"/>
      <c r="E61" s="216"/>
      <c r="F61" s="216"/>
      <c r="G61" s="216"/>
      <c r="H61" s="246"/>
      <c r="I61" s="246" t="s">
        <v>66</v>
      </c>
      <c r="J61" s="247">
        <v>2012</v>
      </c>
    </row>
    <row r="62" spans="1:15" hidden="1" x14ac:dyDescent="0.25">
      <c r="A62" s="248" t="s">
        <v>67</v>
      </c>
      <c r="B62" s="245" t="s">
        <v>153</v>
      </c>
      <c r="C62" s="245"/>
      <c r="D62" s="245"/>
      <c r="E62" s="216"/>
      <c r="F62" s="216"/>
      <c r="G62" s="216"/>
      <c r="H62" s="246"/>
      <c r="I62" s="246"/>
      <c r="J62" s="246"/>
    </row>
    <row r="63" spans="1:15" hidden="1" x14ac:dyDescent="0.25">
      <c r="A63" s="209"/>
      <c r="B63" s="255"/>
      <c r="C63" s="245"/>
      <c r="D63" s="245"/>
      <c r="E63" s="245"/>
      <c r="F63" s="216"/>
      <c r="G63" s="216"/>
      <c r="H63" s="246"/>
      <c r="I63" s="246"/>
      <c r="J63" s="246"/>
    </row>
    <row r="64" spans="1:15" ht="18.75" hidden="1" x14ac:dyDescent="0.3">
      <c r="A64" s="194" t="s">
        <v>134</v>
      </c>
      <c r="L64" s="13" t="s">
        <v>135</v>
      </c>
    </row>
    <row r="65" spans="1:14" ht="15" hidden="1" customHeight="1" x14ac:dyDescent="0.25">
      <c r="A65" s="109" t="s">
        <v>71</v>
      </c>
      <c r="B65" s="256"/>
      <c r="C65" s="596" t="s">
        <v>72</v>
      </c>
      <c r="D65" s="607" t="s">
        <v>60</v>
      </c>
      <c r="E65" s="601" t="s">
        <v>61</v>
      </c>
      <c r="F65" s="602"/>
      <c r="G65" s="603"/>
      <c r="H65" s="601" t="s">
        <v>70</v>
      </c>
      <c r="I65" s="602"/>
      <c r="J65" s="604"/>
      <c r="L65" s="610" t="s">
        <v>71</v>
      </c>
      <c r="M65" s="218" t="s">
        <v>132</v>
      </c>
      <c r="N65" s="219" t="s">
        <v>133</v>
      </c>
    </row>
    <row r="66" spans="1:14" ht="15.75" hidden="1" customHeight="1" thickBot="1" x14ac:dyDescent="0.3">
      <c r="A66" s="257"/>
      <c r="B66" s="258"/>
      <c r="C66" s="597"/>
      <c r="D66" s="608"/>
      <c r="E66" s="259" t="s">
        <v>35</v>
      </c>
      <c r="F66" s="259" t="s">
        <v>36</v>
      </c>
      <c r="G66" s="259" t="s">
        <v>37</v>
      </c>
      <c r="H66" s="259" t="s">
        <v>35</v>
      </c>
      <c r="I66" s="259" t="s">
        <v>36</v>
      </c>
      <c r="J66" s="260" t="s">
        <v>37</v>
      </c>
      <c r="L66" s="611"/>
      <c r="M66" s="223" t="s">
        <v>63</v>
      </c>
      <c r="N66" s="224" t="s">
        <v>63</v>
      </c>
    </row>
    <row r="67" spans="1:14" hidden="1" x14ac:dyDescent="0.25">
      <c r="A67" s="225"/>
      <c r="B67" s="273"/>
      <c r="C67" s="336"/>
      <c r="D67" s="337"/>
      <c r="E67" s="274"/>
      <c r="F67" s="274"/>
      <c r="G67" s="274"/>
      <c r="H67" s="262"/>
      <c r="I67" s="262"/>
      <c r="J67" s="263"/>
      <c r="K67" s="90"/>
      <c r="L67" s="272" t="str">
        <f>_xlfn.CONCAT(A67," &amp; ",B67)</f>
        <v xml:space="preserve"> &amp; </v>
      </c>
      <c r="M67" s="228">
        <f>ROUND(C67*(1+$B$36)^($B$30-$J$70),0)</f>
        <v>0</v>
      </c>
      <c r="N67" s="275">
        <f>ROUND(C67*(1+$B$36)^($B$31-$J$70),0)</f>
        <v>0</v>
      </c>
    </row>
    <row r="68" spans="1:14" ht="15.75" hidden="1" thickBot="1" x14ac:dyDescent="0.3">
      <c r="A68" s="276"/>
      <c r="B68" s="277"/>
      <c r="C68" s="278"/>
      <c r="D68" s="278"/>
      <c r="E68" s="305"/>
      <c r="F68" s="279"/>
      <c r="G68" s="279"/>
      <c r="H68" s="264"/>
      <c r="I68" s="264"/>
      <c r="J68" s="265"/>
      <c r="K68" s="90"/>
      <c r="L68" s="276" t="str">
        <f>_xlfn.CONCAT(A68," &amp; ",B68)</f>
        <v xml:space="preserve"> &amp; </v>
      </c>
      <c r="M68" s="228">
        <f>ROUND(C68*(1+$B$36)^($B$30-$J$70),0)</f>
        <v>0</v>
      </c>
      <c r="N68" s="275">
        <f>ROUND(C68*(1+$B$36)^($B$31-$J$70),0)</f>
        <v>0</v>
      </c>
    </row>
    <row r="69" spans="1:14" ht="24" hidden="1" customHeight="1" thickBot="1" x14ac:dyDescent="0.3">
      <c r="A69" s="253" t="s">
        <v>12</v>
      </c>
      <c r="B69" s="266"/>
      <c r="C69" s="267">
        <f>SUM(C67:C68)</f>
        <v>0</v>
      </c>
      <c r="D69" s="267">
        <f>SUM(D67:D68)</f>
        <v>0</v>
      </c>
      <c r="E69" s="238">
        <f>SUM(E67:E68)</f>
        <v>0</v>
      </c>
      <c r="F69" s="238">
        <f>SUM(F67:F68)</f>
        <v>0</v>
      </c>
      <c r="G69" s="238">
        <f>SUM(G67:G68)</f>
        <v>0</v>
      </c>
      <c r="H69" s="239" t="e">
        <f>E69*1000000/(11.33*365*$C69)</f>
        <v>#DIV/0!</v>
      </c>
      <c r="I69" s="239" t="e">
        <f>F69*1000000/(11.33*365*$C69)</f>
        <v>#DIV/0!</v>
      </c>
      <c r="J69" s="240" t="e">
        <f>G69*1000000/(11.33*365*$C69)</f>
        <v>#DIV/0!</v>
      </c>
      <c r="L69" s="268" t="s">
        <v>12</v>
      </c>
      <c r="M69" s="269">
        <f>SUM(M67:M68)</f>
        <v>0</v>
      </c>
      <c r="N69" s="270">
        <f>SUM(N67:N68)</f>
        <v>0</v>
      </c>
    </row>
    <row r="70" spans="1:14" hidden="1" x14ac:dyDescent="0.25">
      <c r="A70" s="243" t="s">
        <v>64</v>
      </c>
      <c r="B70" s="245" t="s">
        <v>73</v>
      </c>
      <c r="J70" s="45">
        <v>2030</v>
      </c>
    </row>
    <row r="71" spans="1:14" hidden="1" x14ac:dyDescent="0.25">
      <c r="A71" s="248" t="s">
        <v>67</v>
      </c>
      <c r="B71" s="245" t="s">
        <v>153</v>
      </c>
    </row>
    <row r="72" spans="1:14" x14ac:dyDescent="0.25">
      <c r="C72" s="245"/>
      <c r="D72" s="245"/>
      <c r="E72" s="271"/>
    </row>
  </sheetData>
  <mergeCells count="27">
    <mergeCell ref="A29:F29"/>
    <mergeCell ref="B4:E4"/>
    <mergeCell ref="A3:F3"/>
    <mergeCell ref="B22:I22"/>
    <mergeCell ref="A13:F13"/>
    <mergeCell ref="A21:F21"/>
    <mergeCell ref="A50:A51"/>
    <mergeCell ref="B50:B51"/>
    <mergeCell ref="C65:C66"/>
    <mergeCell ref="L50:L51"/>
    <mergeCell ref="L65:L66"/>
    <mergeCell ref="E65:G65"/>
    <mergeCell ref="H65:J65"/>
    <mergeCell ref="C50:C51"/>
    <mergeCell ref="E50:G50"/>
    <mergeCell ref="H50:J50"/>
    <mergeCell ref="D65:D66"/>
    <mergeCell ref="D50:D51"/>
    <mergeCell ref="A39:A40"/>
    <mergeCell ref="C39:C40"/>
    <mergeCell ref="B39:B40"/>
    <mergeCell ref="S39:T39"/>
    <mergeCell ref="Q39:R39"/>
    <mergeCell ref="E39:G39"/>
    <mergeCell ref="H39:J39"/>
    <mergeCell ref="L39:L40"/>
    <mergeCell ref="D39:D40"/>
  </mergeCells>
  <hyperlinks>
    <hyperlink ref="B46" r:id="rId1" xr:uid="{065FE8BF-0B02-493E-975C-910C4E4D1217}"/>
    <hyperlink ref="B61" r:id="rId2" xr:uid="{04B6686B-2D56-4081-A913-C77875AD8FAF}"/>
  </hyperlinks>
  <pageMargins left="0.7" right="0.7" top="0.75" bottom="0.75" header="0.3" footer="0.3"/>
  <pageSetup scale="44" orientation="portrait" r:id="rId3"/>
  <headerFooter>
    <oddHeader>&amp;LBCA Analysis&amp;CI-680 Highway Preservation</oddHeader>
    <oddFooter>&amp;Rpage 8 of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DA3E-C9CA-4345-8D4A-2F39E4883C81}">
  <sheetPr>
    <tabColor theme="9" tint="0.59999389629810485"/>
    <pageSetUpPr fitToPage="1"/>
  </sheetPr>
  <dimension ref="A1:U48"/>
  <sheetViews>
    <sheetView tabSelected="1" topLeftCell="A19" zoomScale="80" zoomScaleNormal="80" workbookViewId="0">
      <selection activeCell="S50" sqref="S50"/>
    </sheetView>
  </sheetViews>
  <sheetFormatPr defaultRowHeight="15" x14ac:dyDescent="0.25"/>
  <cols>
    <col min="1" max="1" width="11.42578125" customWidth="1"/>
    <col min="2" max="2" width="13.5703125" bestFit="1" customWidth="1"/>
    <col min="3" max="3" width="13.7109375" bestFit="1" customWidth="1"/>
    <col min="4" max="4" width="22.7109375" bestFit="1" customWidth="1"/>
    <col min="6" max="6" width="25.85546875" style="52" customWidth="1"/>
    <col min="7" max="7" width="19.140625" style="52" customWidth="1"/>
    <col min="8" max="8" width="8.85546875" style="52"/>
    <col min="10" max="10" width="12.28515625" bestFit="1" customWidth="1"/>
    <col min="11" max="11" width="9.85546875" customWidth="1"/>
    <col min="12" max="12" width="10.28515625" customWidth="1"/>
    <col min="13" max="13" width="10.28515625" style="52" customWidth="1"/>
    <col min="16" max="16" width="8.85546875" style="52"/>
    <col min="17" max="17" width="12.7109375" style="52" bestFit="1" customWidth="1"/>
    <col min="19" max="19" width="10.5703125" bestFit="1" customWidth="1"/>
    <col min="20" max="20" width="14.140625" bestFit="1" customWidth="1"/>
  </cols>
  <sheetData>
    <row r="1" spans="1:17" x14ac:dyDescent="0.25">
      <c r="A1" s="18" t="s">
        <v>156</v>
      </c>
    </row>
    <row r="2" spans="1:17" ht="15.75" thickBot="1" x14ac:dyDescent="0.3">
      <c r="A2" s="52"/>
    </row>
    <row r="3" spans="1:17" ht="32.450000000000003" customHeight="1" x14ac:dyDescent="0.25">
      <c r="A3" s="3"/>
      <c r="B3" s="19"/>
      <c r="C3" s="19"/>
      <c r="D3" s="19"/>
      <c r="F3" s="640" t="s">
        <v>110</v>
      </c>
      <c r="G3" s="641"/>
      <c r="I3" s="632" t="s">
        <v>105</v>
      </c>
      <c r="J3" s="633"/>
      <c r="K3" s="633"/>
      <c r="L3" s="633"/>
      <c r="M3" s="634"/>
      <c r="N3" s="635"/>
    </row>
    <row r="4" spans="1:17" x14ac:dyDescent="0.25">
      <c r="A4" s="3"/>
      <c r="B4" s="3"/>
      <c r="C4" s="3"/>
      <c r="D4" s="3"/>
      <c r="F4" s="642" t="s">
        <v>108</v>
      </c>
      <c r="G4" s="643"/>
      <c r="I4" s="70" t="s">
        <v>81</v>
      </c>
      <c r="J4" s="69"/>
      <c r="K4" s="69"/>
      <c r="L4" s="69"/>
      <c r="M4" s="111"/>
      <c r="N4" s="71"/>
    </row>
    <row r="5" spans="1:17" ht="28.9" customHeight="1" x14ac:dyDescent="0.25">
      <c r="A5" s="3"/>
      <c r="B5" s="3"/>
      <c r="C5" s="3"/>
      <c r="D5" s="3"/>
      <c r="F5" s="72" t="s">
        <v>111</v>
      </c>
      <c r="G5" s="73" t="s">
        <v>112</v>
      </c>
      <c r="I5" s="65" t="s">
        <v>106</v>
      </c>
      <c r="J5" s="63" t="s">
        <v>79</v>
      </c>
      <c r="K5" s="63" t="s">
        <v>80</v>
      </c>
      <c r="L5" s="63" t="s">
        <v>74</v>
      </c>
      <c r="M5" s="112" t="s">
        <v>75</v>
      </c>
      <c r="N5" s="66" t="s">
        <v>76</v>
      </c>
    </row>
    <row r="6" spans="1:17" ht="30" x14ac:dyDescent="0.25">
      <c r="A6" s="19"/>
      <c r="B6" s="19"/>
      <c r="C6" s="19"/>
      <c r="D6" s="6"/>
      <c r="F6" s="74" t="s">
        <v>113</v>
      </c>
      <c r="G6" s="312">
        <v>1.48</v>
      </c>
      <c r="I6" s="322">
        <v>2020</v>
      </c>
      <c r="J6" s="320">
        <v>15700</v>
      </c>
      <c r="K6" s="320">
        <v>40400</v>
      </c>
      <c r="L6" s="320">
        <v>729300</v>
      </c>
      <c r="M6" s="316">
        <f>(G34/G38)*151100*1.1015</f>
        <v>178087.21549999999</v>
      </c>
      <c r="N6" s="323">
        <v>50</v>
      </c>
      <c r="P6" s="34"/>
      <c r="Q6" s="307"/>
    </row>
    <row r="7" spans="1:17" ht="30" x14ac:dyDescent="0.25">
      <c r="A7" s="19"/>
      <c r="B7" s="19"/>
      <c r="C7" s="19"/>
      <c r="D7" s="6"/>
      <c r="F7" s="74" t="s">
        <v>114</v>
      </c>
      <c r="G7" s="312">
        <v>1.58</v>
      </c>
      <c r="I7" s="327">
        <v>2021</v>
      </c>
      <c r="J7" s="328">
        <v>15600</v>
      </c>
      <c r="K7" s="328">
        <v>41500</v>
      </c>
      <c r="L7" s="328">
        <v>748600</v>
      </c>
      <c r="M7" s="317">
        <f>M6*(L7/L6)</f>
        <v>182800.06790525161</v>
      </c>
      <c r="N7" s="330">
        <v>52</v>
      </c>
      <c r="P7" s="34"/>
      <c r="Q7" s="307"/>
    </row>
    <row r="8" spans="1:17" ht="30" x14ac:dyDescent="0.25">
      <c r="A8" s="19"/>
      <c r="B8" s="19"/>
      <c r="C8" s="19"/>
      <c r="D8" s="6"/>
      <c r="F8" s="74" t="s">
        <v>115</v>
      </c>
      <c r="G8" s="312">
        <v>2.02</v>
      </c>
      <c r="I8" s="327">
        <v>2022</v>
      </c>
      <c r="J8" s="328">
        <v>15800</v>
      </c>
      <c r="K8" s="328">
        <v>42300</v>
      </c>
      <c r="L8" s="328">
        <v>761600</v>
      </c>
      <c r="M8" s="317">
        <f t="shared" ref="M8:M35" si="0">M7*(L8/L7)</f>
        <v>185974.52807459206</v>
      </c>
      <c r="N8" s="330">
        <v>53</v>
      </c>
      <c r="P8" s="308"/>
      <c r="Q8" s="307"/>
    </row>
    <row r="9" spans="1:17" ht="32.450000000000003" customHeight="1" thickBot="1" x14ac:dyDescent="0.3">
      <c r="A9" s="19"/>
      <c r="B9" s="19"/>
      <c r="C9" s="19"/>
      <c r="D9" s="6"/>
      <c r="F9" s="75" t="s">
        <v>116</v>
      </c>
      <c r="G9" s="315">
        <v>1.67</v>
      </c>
      <c r="I9" s="327">
        <v>2023</v>
      </c>
      <c r="J9" s="328">
        <v>16000</v>
      </c>
      <c r="K9" s="328">
        <v>43100</v>
      </c>
      <c r="L9" s="328">
        <v>774700</v>
      </c>
      <c r="M9" s="317">
        <f t="shared" si="0"/>
        <v>189173.40716831206</v>
      </c>
      <c r="N9" s="330">
        <v>54</v>
      </c>
      <c r="P9" s="308"/>
      <c r="Q9" s="307"/>
    </row>
    <row r="10" spans="1:17" ht="15.75" thickBot="1" x14ac:dyDescent="0.3">
      <c r="A10" s="19"/>
      <c r="B10" s="19"/>
      <c r="C10" s="19"/>
      <c r="D10" s="6"/>
      <c r="I10" s="327">
        <v>2024</v>
      </c>
      <c r="J10" s="328">
        <v>16200</v>
      </c>
      <c r="K10" s="328">
        <v>44000</v>
      </c>
      <c r="L10" s="328">
        <v>788100</v>
      </c>
      <c r="M10" s="317">
        <f t="shared" si="0"/>
        <v>192445.5430351707</v>
      </c>
      <c r="N10" s="330">
        <v>55</v>
      </c>
      <c r="P10" s="308"/>
      <c r="Q10" s="307"/>
    </row>
    <row r="11" spans="1:17" ht="14.45" customHeight="1" thickBot="1" x14ac:dyDescent="0.3">
      <c r="A11" s="19"/>
      <c r="B11" s="19"/>
      <c r="C11" s="19"/>
      <c r="D11" s="6"/>
      <c r="F11" s="640" t="s">
        <v>117</v>
      </c>
      <c r="G11" s="641"/>
      <c r="I11" s="327">
        <v>2025</v>
      </c>
      <c r="J11" s="328">
        <v>16500</v>
      </c>
      <c r="K11" s="328">
        <v>44900</v>
      </c>
      <c r="L11" s="328">
        <v>801700</v>
      </c>
      <c r="M11" s="317">
        <f t="shared" si="0"/>
        <v>195766.51675078843</v>
      </c>
      <c r="N11" s="330">
        <v>56</v>
      </c>
      <c r="P11" s="34"/>
      <c r="Q11" s="307"/>
    </row>
    <row r="12" spans="1:17" x14ac:dyDescent="0.25">
      <c r="A12" s="645"/>
      <c r="B12" s="646"/>
      <c r="C12" s="646"/>
      <c r="D12" s="647"/>
      <c r="F12" s="642" t="s">
        <v>108</v>
      </c>
      <c r="G12" s="643"/>
      <c r="I12" s="327">
        <v>2026</v>
      </c>
      <c r="J12" s="328">
        <v>16800</v>
      </c>
      <c r="K12" s="328">
        <v>45700</v>
      </c>
      <c r="L12" s="328">
        <v>814500</v>
      </c>
      <c r="M12" s="317">
        <f t="shared" si="0"/>
        <v>198892.13907136981</v>
      </c>
      <c r="N12" s="330">
        <v>57</v>
      </c>
      <c r="Q12" s="122"/>
    </row>
    <row r="13" spans="1:17" x14ac:dyDescent="0.25">
      <c r="A13" s="627" t="s">
        <v>82</v>
      </c>
      <c r="B13" s="628"/>
      <c r="C13" s="628"/>
      <c r="D13" s="66" t="s">
        <v>157</v>
      </c>
      <c r="F13" s="72" t="s">
        <v>111</v>
      </c>
      <c r="G13" s="76" t="s">
        <v>160</v>
      </c>
      <c r="I13" s="327">
        <v>2027</v>
      </c>
      <c r="J13" s="328">
        <v>17100</v>
      </c>
      <c r="K13" s="328">
        <v>46500</v>
      </c>
      <c r="L13" s="328">
        <v>827400</v>
      </c>
      <c r="M13" s="317">
        <f t="shared" si="0"/>
        <v>202042.18031633072</v>
      </c>
      <c r="N13" s="330">
        <v>58</v>
      </c>
    </row>
    <row r="14" spans="1:17" x14ac:dyDescent="0.25">
      <c r="A14" s="620" t="s">
        <v>83</v>
      </c>
      <c r="B14" s="621"/>
      <c r="C14" s="621"/>
      <c r="D14" s="310">
        <v>3700</v>
      </c>
      <c r="F14" s="74" t="s">
        <v>118</v>
      </c>
      <c r="G14" s="313">
        <v>0.45</v>
      </c>
      <c r="I14" s="327">
        <v>2028</v>
      </c>
      <c r="J14" s="328">
        <v>17400</v>
      </c>
      <c r="K14" s="328">
        <v>47300</v>
      </c>
      <c r="L14" s="328">
        <v>840600</v>
      </c>
      <c r="M14" s="317">
        <f t="shared" si="0"/>
        <v>205265.47833443026</v>
      </c>
      <c r="N14" s="330">
        <v>60</v>
      </c>
    </row>
    <row r="15" spans="1:17" x14ac:dyDescent="0.25">
      <c r="A15" s="620" t="s">
        <v>84</v>
      </c>
      <c r="B15" s="621"/>
      <c r="C15" s="621"/>
      <c r="D15" s="310">
        <v>77200</v>
      </c>
      <c r="F15" s="74" t="s">
        <v>119</v>
      </c>
      <c r="G15" s="313">
        <v>0.94</v>
      </c>
      <c r="I15" s="327">
        <v>2029</v>
      </c>
      <c r="J15" s="328">
        <v>17700</v>
      </c>
      <c r="K15" s="328">
        <v>48200</v>
      </c>
      <c r="L15" s="328">
        <v>854000</v>
      </c>
      <c r="M15" s="317">
        <f t="shared" si="0"/>
        <v>208537.61420128887</v>
      </c>
      <c r="N15" s="330">
        <v>61</v>
      </c>
    </row>
    <row r="16" spans="1:17" ht="15.75" thickBot="1" x14ac:dyDescent="0.3">
      <c r="A16" s="618" t="s">
        <v>85</v>
      </c>
      <c r="B16" s="619"/>
      <c r="C16" s="619"/>
      <c r="D16" s="310">
        <v>151100</v>
      </c>
      <c r="I16" s="327">
        <v>2030</v>
      </c>
      <c r="J16" s="328">
        <v>18100</v>
      </c>
      <c r="K16" s="328">
        <v>49100</v>
      </c>
      <c r="L16" s="328">
        <v>867600</v>
      </c>
      <c r="M16" s="317">
        <f t="shared" si="0"/>
        <v>211858.58791690657</v>
      </c>
      <c r="N16" s="330">
        <v>62</v>
      </c>
    </row>
    <row r="17" spans="1:20" x14ac:dyDescent="0.25">
      <c r="A17" s="618" t="s">
        <v>86</v>
      </c>
      <c r="B17" s="619"/>
      <c r="C17" s="619"/>
      <c r="D17" s="310">
        <v>554800</v>
      </c>
      <c r="F17" s="640" t="s">
        <v>109</v>
      </c>
      <c r="G17" s="644"/>
      <c r="I17" s="327">
        <v>2031</v>
      </c>
      <c r="J17" s="328">
        <v>18100</v>
      </c>
      <c r="K17" s="328">
        <v>49100</v>
      </c>
      <c r="L17" s="328">
        <v>867600</v>
      </c>
      <c r="M17" s="317">
        <f t="shared" si="0"/>
        <v>211858.58791690657</v>
      </c>
      <c r="N17" s="330">
        <v>63</v>
      </c>
      <c r="S17" s="52"/>
      <c r="T17" s="52"/>
    </row>
    <row r="18" spans="1:20" x14ac:dyDescent="0.25">
      <c r="A18" s="618" t="s">
        <v>87</v>
      </c>
      <c r="B18" s="619"/>
      <c r="C18" s="619"/>
      <c r="D18" s="310">
        <v>11600000</v>
      </c>
      <c r="F18" s="642" t="s">
        <v>108</v>
      </c>
      <c r="G18" s="653"/>
      <c r="I18" s="327">
        <v>2032</v>
      </c>
      <c r="J18" s="328">
        <v>18100</v>
      </c>
      <c r="K18" s="328">
        <v>49100</v>
      </c>
      <c r="L18" s="328">
        <v>867600</v>
      </c>
      <c r="M18" s="317">
        <f t="shared" si="0"/>
        <v>211858.58791690657</v>
      </c>
      <c r="N18" s="330">
        <v>64</v>
      </c>
      <c r="S18" s="52"/>
      <c r="T18" s="52"/>
    </row>
    <row r="19" spans="1:20" ht="43.9" customHeight="1" x14ac:dyDescent="0.25">
      <c r="A19" s="618" t="s">
        <v>88</v>
      </c>
      <c r="B19" s="619"/>
      <c r="C19" s="619"/>
      <c r="D19" s="310">
        <v>210300</v>
      </c>
      <c r="F19" s="78" t="s">
        <v>107</v>
      </c>
      <c r="G19" s="77" t="s">
        <v>161</v>
      </c>
      <c r="I19" s="327">
        <v>2033</v>
      </c>
      <c r="J19" s="328">
        <v>18100</v>
      </c>
      <c r="K19" s="328">
        <v>49100</v>
      </c>
      <c r="L19" s="328">
        <v>867600</v>
      </c>
      <c r="M19" s="317">
        <f t="shared" si="0"/>
        <v>211858.58791690657</v>
      </c>
      <c r="N19" s="330">
        <v>65</v>
      </c>
      <c r="S19" s="52"/>
      <c r="T19" s="52"/>
    </row>
    <row r="20" spans="1:20" x14ac:dyDescent="0.25">
      <c r="A20" s="618" t="s">
        <v>89</v>
      </c>
      <c r="B20" s="619"/>
      <c r="C20" s="619"/>
      <c r="D20" s="310">
        <v>159800</v>
      </c>
      <c r="F20" s="331">
        <v>2002</v>
      </c>
      <c r="G20" s="332">
        <v>1.3851</v>
      </c>
      <c r="I20" s="327">
        <v>2034</v>
      </c>
      <c r="J20" s="328">
        <v>18100</v>
      </c>
      <c r="K20" s="328">
        <v>49100</v>
      </c>
      <c r="L20" s="328">
        <v>867600</v>
      </c>
      <c r="M20" s="317">
        <f t="shared" si="0"/>
        <v>211858.58791690657</v>
      </c>
      <c r="N20" s="330">
        <v>66</v>
      </c>
      <c r="S20" s="52"/>
      <c r="T20" s="52"/>
    </row>
    <row r="21" spans="1:20" x14ac:dyDescent="0.25">
      <c r="A21" s="648"/>
      <c r="B21" s="649"/>
      <c r="C21" s="649"/>
      <c r="D21" s="650"/>
      <c r="F21" s="333">
        <v>2003</v>
      </c>
      <c r="G21" s="334">
        <v>1.38</v>
      </c>
      <c r="I21" s="327">
        <v>2035</v>
      </c>
      <c r="J21" s="328">
        <v>18100</v>
      </c>
      <c r="K21" s="328">
        <v>49100</v>
      </c>
      <c r="L21" s="328">
        <v>867600</v>
      </c>
      <c r="M21" s="317">
        <f t="shared" si="0"/>
        <v>211858.58791690657</v>
      </c>
      <c r="N21" s="330">
        <v>67</v>
      </c>
      <c r="S21" s="52"/>
      <c r="T21" s="52"/>
    </row>
    <row r="22" spans="1:20" x14ac:dyDescent="0.25">
      <c r="A22" s="651" t="s">
        <v>90</v>
      </c>
      <c r="B22" s="652"/>
      <c r="C22" s="652"/>
      <c r="D22" s="66" t="s">
        <v>157</v>
      </c>
      <c r="F22" s="327">
        <v>2004</v>
      </c>
      <c r="G22" s="334">
        <v>1.34</v>
      </c>
      <c r="I22" s="327">
        <v>2036</v>
      </c>
      <c r="J22" s="328">
        <v>18100</v>
      </c>
      <c r="K22" s="328">
        <v>49100</v>
      </c>
      <c r="L22" s="328">
        <v>867600</v>
      </c>
      <c r="M22" s="317">
        <f t="shared" si="0"/>
        <v>211858.58791690657</v>
      </c>
      <c r="N22" s="330">
        <v>69</v>
      </c>
      <c r="S22" s="52"/>
      <c r="T22" s="52"/>
    </row>
    <row r="23" spans="1:20" x14ac:dyDescent="0.25">
      <c r="A23" s="618" t="s">
        <v>91</v>
      </c>
      <c r="B23" s="619"/>
      <c r="C23" s="619"/>
      <c r="D23" s="310">
        <v>302600</v>
      </c>
      <c r="F23" s="327">
        <v>2005</v>
      </c>
      <c r="G23" s="334">
        <v>1.3</v>
      </c>
      <c r="I23" s="327">
        <v>2037</v>
      </c>
      <c r="J23" s="328">
        <v>18100</v>
      </c>
      <c r="K23" s="328">
        <v>49100</v>
      </c>
      <c r="L23" s="328">
        <v>867600</v>
      </c>
      <c r="M23" s="317">
        <f t="shared" si="0"/>
        <v>211858.58791690657</v>
      </c>
      <c r="N23" s="330">
        <v>70</v>
      </c>
      <c r="S23" s="52"/>
      <c r="T23" s="52"/>
    </row>
    <row r="24" spans="1:20" ht="15.75" thickBot="1" x14ac:dyDescent="0.3">
      <c r="A24" s="622" t="s">
        <v>92</v>
      </c>
      <c r="B24" s="623"/>
      <c r="C24" s="623"/>
      <c r="D24" s="311">
        <v>12837400</v>
      </c>
      <c r="F24" s="327">
        <v>2006</v>
      </c>
      <c r="G24" s="334">
        <v>1.26</v>
      </c>
      <c r="I24" s="327">
        <v>2038</v>
      </c>
      <c r="J24" s="328">
        <v>18100</v>
      </c>
      <c r="K24" s="328">
        <v>49100</v>
      </c>
      <c r="L24" s="328">
        <v>867600</v>
      </c>
      <c r="M24" s="317">
        <f t="shared" si="0"/>
        <v>211858.58791690657</v>
      </c>
      <c r="N24" s="330">
        <v>71</v>
      </c>
      <c r="S24" s="52"/>
      <c r="T24" s="52"/>
    </row>
    <row r="25" spans="1:20" ht="15.75" thickBot="1" x14ac:dyDescent="0.3">
      <c r="A25" s="17"/>
      <c r="B25" s="17"/>
      <c r="C25" s="17"/>
      <c r="D25" s="17"/>
      <c r="F25" s="327">
        <v>2007</v>
      </c>
      <c r="G25" s="334">
        <v>1.23</v>
      </c>
      <c r="I25" s="327">
        <v>2039</v>
      </c>
      <c r="J25" s="328">
        <v>18100</v>
      </c>
      <c r="K25" s="328">
        <v>49100</v>
      </c>
      <c r="L25" s="328">
        <v>867600</v>
      </c>
      <c r="M25" s="317">
        <f t="shared" si="0"/>
        <v>211858.58791690657</v>
      </c>
      <c r="N25" s="330">
        <v>72</v>
      </c>
      <c r="R25" s="52"/>
      <c r="S25" s="52"/>
      <c r="T25" s="52"/>
    </row>
    <row r="26" spans="1:20" x14ac:dyDescent="0.25">
      <c r="A26" s="67" t="s">
        <v>93</v>
      </c>
      <c r="B26" s="9"/>
      <c r="C26" s="9"/>
      <c r="D26" s="68"/>
      <c r="F26" s="327">
        <v>2008</v>
      </c>
      <c r="G26" s="334">
        <v>1.2</v>
      </c>
      <c r="I26" s="327">
        <v>2040</v>
      </c>
      <c r="J26" s="328">
        <v>18100</v>
      </c>
      <c r="K26" s="328">
        <v>49100</v>
      </c>
      <c r="L26" s="328">
        <v>867600</v>
      </c>
      <c r="M26" s="317">
        <f t="shared" si="0"/>
        <v>211858.58791690657</v>
      </c>
      <c r="N26" s="330">
        <v>73</v>
      </c>
      <c r="R26" s="52"/>
      <c r="S26" s="52"/>
      <c r="T26" s="52"/>
    </row>
    <row r="27" spans="1:20" x14ac:dyDescent="0.25">
      <c r="A27" s="627" t="s">
        <v>90</v>
      </c>
      <c r="B27" s="628"/>
      <c r="C27" s="628"/>
      <c r="D27" s="66" t="s">
        <v>158</v>
      </c>
      <c r="F27" s="327">
        <v>2009</v>
      </c>
      <c r="G27" s="334">
        <v>1.2</v>
      </c>
      <c r="I27" s="327">
        <v>2041</v>
      </c>
      <c r="J27" s="328">
        <v>18100</v>
      </c>
      <c r="K27" s="328">
        <v>49100</v>
      </c>
      <c r="L27" s="328">
        <v>867600</v>
      </c>
      <c r="M27" s="317">
        <f t="shared" si="0"/>
        <v>211858.58791690657</v>
      </c>
      <c r="N27" s="330">
        <v>74</v>
      </c>
      <c r="R27" s="52"/>
      <c r="S27" s="52"/>
      <c r="T27" s="52"/>
    </row>
    <row r="28" spans="1:20" ht="15.75" thickBot="1" x14ac:dyDescent="0.3">
      <c r="A28" s="629" t="s">
        <v>35</v>
      </c>
      <c r="B28" s="630"/>
      <c r="C28" s="630"/>
      <c r="D28" s="311">
        <v>4600</v>
      </c>
      <c r="F28" s="327">
        <v>2010</v>
      </c>
      <c r="G28" s="334">
        <v>1.18</v>
      </c>
      <c r="I28" s="327">
        <v>2042</v>
      </c>
      <c r="J28" s="328">
        <v>18100</v>
      </c>
      <c r="K28" s="328">
        <v>49100</v>
      </c>
      <c r="L28" s="328">
        <v>867600</v>
      </c>
      <c r="M28" s="317">
        <f t="shared" si="0"/>
        <v>211858.58791690657</v>
      </c>
      <c r="N28" s="330">
        <v>75</v>
      </c>
      <c r="R28" s="52"/>
      <c r="S28" s="52"/>
      <c r="T28" s="52"/>
    </row>
    <row r="29" spans="1:20" ht="15.75" thickBot="1" x14ac:dyDescent="0.3">
      <c r="F29" s="327">
        <v>2011</v>
      </c>
      <c r="G29" s="334">
        <v>1.1599999999999999</v>
      </c>
      <c r="I29" s="327">
        <v>2043</v>
      </c>
      <c r="J29" s="328">
        <v>18100</v>
      </c>
      <c r="K29" s="328">
        <v>49100</v>
      </c>
      <c r="L29" s="328">
        <v>867600</v>
      </c>
      <c r="M29" s="317">
        <f t="shared" si="0"/>
        <v>211858.58791690657</v>
      </c>
      <c r="N29" s="330">
        <v>77</v>
      </c>
      <c r="R29" s="52"/>
      <c r="S29" s="52"/>
      <c r="T29" s="52"/>
    </row>
    <row r="30" spans="1:20" x14ac:dyDescent="0.25">
      <c r="A30" s="67" t="s">
        <v>94</v>
      </c>
      <c r="B30" s="9"/>
      <c r="C30" s="9"/>
      <c r="D30" s="68"/>
      <c r="F30" s="327">
        <v>2012</v>
      </c>
      <c r="G30" s="334">
        <v>1.1399999999999999</v>
      </c>
      <c r="I30" s="327">
        <v>2044</v>
      </c>
      <c r="J30" s="328">
        <v>18100</v>
      </c>
      <c r="K30" s="328">
        <v>49100</v>
      </c>
      <c r="L30" s="328">
        <v>867600</v>
      </c>
      <c r="M30" s="317">
        <f t="shared" si="0"/>
        <v>211858.58791690657</v>
      </c>
      <c r="N30" s="330">
        <v>78</v>
      </c>
      <c r="R30" s="52"/>
      <c r="S30" s="52"/>
      <c r="T30" s="52"/>
    </row>
    <row r="31" spans="1:20" ht="28.9" customHeight="1" x14ac:dyDescent="0.25">
      <c r="A31" s="624" t="s">
        <v>159</v>
      </c>
      <c r="B31" s="625"/>
      <c r="C31" s="625"/>
      <c r="D31" s="626"/>
      <c r="F31" s="327">
        <v>2013</v>
      </c>
      <c r="G31" s="334">
        <v>1.1200000000000001</v>
      </c>
      <c r="I31" s="327">
        <v>2045</v>
      </c>
      <c r="J31" s="328">
        <v>18100</v>
      </c>
      <c r="K31" s="328">
        <v>49100</v>
      </c>
      <c r="L31" s="328">
        <v>867600</v>
      </c>
      <c r="M31" s="317">
        <f t="shared" si="0"/>
        <v>211858.58791690657</v>
      </c>
      <c r="N31" s="330">
        <v>79</v>
      </c>
      <c r="R31" s="52"/>
      <c r="S31" s="52"/>
      <c r="T31" s="52"/>
    </row>
    <row r="32" spans="1:20" x14ac:dyDescent="0.25">
      <c r="A32" s="627" t="s">
        <v>96</v>
      </c>
      <c r="B32" s="628"/>
      <c r="C32" s="628"/>
      <c r="D32" s="66" t="s">
        <v>95</v>
      </c>
      <c r="F32" s="327">
        <v>2014</v>
      </c>
      <c r="G32" s="334">
        <v>1.1000000000000001</v>
      </c>
      <c r="I32" s="327">
        <v>2046</v>
      </c>
      <c r="J32" s="328">
        <v>18100</v>
      </c>
      <c r="K32" s="328">
        <v>49100</v>
      </c>
      <c r="L32" s="328">
        <v>867600</v>
      </c>
      <c r="M32" s="317">
        <f t="shared" si="0"/>
        <v>211858.58791690657</v>
      </c>
      <c r="N32" s="330">
        <v>80</v>
      </c>
      <c r="R32" s="52"/>
      <c r="S32" s="631"/>
      <c r="T32" s="631"/>
    </row>
    <row r="33" spans="1:21" s="52" customFormat="1" x14ac:dyDescent="0.25">
      <c r="A33" s="636" t="s">
        <v>97</v>
      </c>
      <c r="B33" s="637"/>
      <c r="C33" s="637"/>
      <c r="D33" s="312"/>
      <c r="F33" s="327">
        <v>2015</v>
      </c>
      <c r="G33" s="334">
        <v>1.0900000000000001</v>
      </c>
      <c r="I33" s="327">
        <v>2047</v>
      </c>
      <c r="J33" s="328">
        <v>18100</v>
      </c>
      <c r="K33" s="328">
        <v>49100</v>
      </c>
      <c r="L33" s="328">
        <v>867600</v>
      </c>
      <c r="M33" s="317">
        <f t="shared" si="0"/>
        <v>211858.58791690657</v>
      </c>
      <c r="N33" s="330">
        <v>81</v>
      </c>
    </row>
    <row r="34" spans="1:21" x14ac:dyDescent="0.25">
      <c r="A34" s="620" t="s">
        <v>155</v>
      </c>
      <c r="B34" s="621"/>
      <c r="C34" s="621"/>
      <c r="D34" s="313">
        <v>16.2</v>
      </c>
      <c r="F34" s="327">
        <v>2016</v>
      </c>
      <c r="G34" s="334">
        <v>1.07</v>
      </c>
      <c r="I34" s="327">
        <v>2048</v>
      </c>
      <c r="J34" s="328">
        <v>18100</v>
      </c>
      <c r="K34" s="328">
        <v>49100</v>
      </c>
      <c r="L34" s="328">
        <v>867600</v>
      </c>
      <c r="M34" s="317">
        <f t="shared" si="0"/>
        <v>211858.58791690657</v>
      </c>
      <c r="N34" s="330">
        <v>82</v>
      </c>
      <c r="R34" s="52"/>
      <c r="S34" s="52"/>
      <c r="T34" s="52"/>
      <c r="U34" s="52"/>
    </row>
    <row r="35" spans="1:21" x14ac:dyDescent="0.25">
      <c r="A35" s="618" t="s">
        <v>98</v>
      </c>
      <c r="B35" s="619"/>
      <c r="C35" s="619"/>
      <c r="D35" s="313">
        <v>29.4</v>
      </c>
      <c r="F35" s="327">
        <v>2017</v>
      </c>
      <c r="G35" s="334">
        <v>1.05</v>
      </c>
      <c r="I35" s="327">
        <v>2049</v>
      </c>
      <c r="J35" s="328">
        <v>18100</v>
      </c>
      <c r="K35" s="328">
        <v>49100</v>
      </c>
      <c r="L35" s="328">
        <v>867600</v>
      </c>
      <c r="M35" s="317">
        <f t="shared" si="0"/>
        <v>211858.58791690657</v>
      </c>
      <c r="N35" s="330">
        <v>83</v>
      </c>
      <c r="R35" s="52"/>
      <c r="S35" s="52"/>
      <c r="T35" s="52"/>
      <c r="U35" s="52"/>
    </row>
    <row r="36" spans="1:21" ht="15.75" thickBot="1" x14ac:dyDescent="0.3">
      <c r="A36" s="618" t="s">
        <v>99</v>
      </c>
      <c r="B36" s="619"/>
      <c r="C36" s="619"/>
      <c r="D36" s="313">
        <v>17.8</v>
      </c>
      <c r="F36" s="327">
        <v>2018</v>
      </c>
      <c r="G36" s="334">
        <v>1.03</v>
      </c>
      <c r="I36" s="329">
        <v>2050</v>
      </c>
      <c r="J36" s="328">
        <v>18100</v>
      </c>
      <c r="K36" s="328">
        <v>49100</v>
      </c>
      <c r="L36" s="328">
        <v>867600</v>
      </c>
      <c r="M36" s="318">
        <f>M35*(L36/L35)</f>
        <v>211858.58791690657</v>
      </c>
      <c r="N36" s="330">
        <v>85</v>
      </c>
      <c r="R36" s="52"/>
      <c r="S36" s="52"/>
      <c r="T36" s="52"/>
      <c r="U36" s="52"/>
    </row>
    <row r="37" spans="1:21" x14ac:dyDescent="0.25">
      <c r="A37" s="638" t="s">
        <v>100</v>
      </c>
      <c r="B37" s="639"/>
      <c r="C37" s="639"/>
      <c r="D37" s="312"/>
      <c r="F37" s="329">
        <v>2019</v>
      </c>
      <c r="G37" s="335">
        <v>1.01</v>
      </c>
      <c r="I37" s="113">
        <v>2051</v>
      </c>
      <c r="J37" s="324">
        <v>18100</v>
      </c>
      <c r="K37" s="324">
        <v>49100</v>
      </c>
      <c r="L37" s="324">
        <v>867600</v>
      </c>
      <c r="M37" s="319">
        <f t="shared" ref="M37:M43" si="1">M36*(L37/L36)</f>
        <v>211858.58791690657</v>
      </c>
      <c r="N37" s="118">
        <v>84.892857142857096</v>
      </c>
      <c r="R37" s="52"/>
      <c r="S37" s="52"/>
      <c r="T37" s="52"/>
      <c r="U37" s="52"/>
    </row>
    <row r="38" spans="1:21" x14ac:dyDescent="0.25">
      <c r="A38" s="618" t="s">
        <v>101</v>
      </c>
      <c r="B38" s="619"/>
      <c r="C38" s="619"/>
      <c r="D38" s="313">
        <v>32</v>
      </c>
      <c r="F38" s="329">
        <v>2020</v>
      </c>
      <c r="G38" s="335">
        <v>1</v>
      </c>
      <c r="I38" s="114">
        <v>2052</v>
      </c>
      <c r="J38" s="325">
        <v>18100</v>
      </c>
      <c r="K38" s="325">
        <v>49100</v>
      </c>
      <c r="L38" s="325">
        <v>867600</v>
      </c>
      <c r="M38" s="320">
        <f t="shared" si="1"/>
        <v>211858.58791690657</v>
      </c>
      <c r="N38" s="119">
        <v>86.035714285714306</v>
      </c>
      <c r="R38" s="52"/>
      <c r="S38" s="52"/>
      <c r="T38" s="52"/>
      <c r="U38" s="52"/>
    </row>
    <row r="39" spans="1:21" x14ac:dyDescent="0.25">
      <c r="A39" s="618" t="s">
        <v>102</v>
      </c>
      <c r="B39" s="619"/>
      <c r="C39" s="619"/>
      <c r="D39" s="313">
        <v>33.6</v>
      </c>
      <c r="F39" s="114" t="s">
        <v>142</v>
      </c>
      <c r="G39" s="116">
        <f>G38-(G37-G38)</f>
        <v>0.99</v>
      </c>
      <c r="I39" s="114">
        <v>2053</v>
      </c>
      <c r="J39" s="325">
        <v>18100</v>
      </c>
      <c r="K39" s="325">
        <v>49100</v>
      </c>
      <c r="L39" s="325">
        <v>867600</v>
      </c>
      <c r="M39" s="320">
        <f t="shared" si="1"/>
        <v>211858.58791690657</v>
      </c>
      <c r="N39" s="119">
        <v>87.178571428571402</v>
      </c>
      <c r="R39" s="52"/>
      <c r="S39" s="52"/>
      <c r="T39" s="52"/>
      <c r="U39" s="52"/>
    </row>
    <row r="40" spans="1:21" x14ac:dyDescent="0.25">
      <c r="A40" s="618" t="s">
        <v>103</v>
      </c>
      <c r="B40" s="619"/>
      <c r="C40" s="619"/>
      <c r="D40" s="313">
        <v>50.7</v>
      </c>
      <c r="F40" s="114" t="s">
        <v>143</v>
      </c>
      <c r="G40" s="116">
        <f>G39-(G38-G39)</f>
        <v>0.98</v>
      </c>
      <c r="I40" s="114">
        <v>2054</v>
      </c>
      <c r="J40" s="325">
        <v>18100</v>
      </c>
      <c r="K40" s="325">
        <v>49100</v>
      </c>
      <c r="L40" s="325">
        <v>867600</v>
      </c>
      <c r="M40" s="320">
        <f t="shared" si="1"/>
        <v>211858.58791690657</v>
      </c>
      <c r="N40" s="119">
        <v>88.321428571428598</v>
      </c>
      <c r="R40" s="52"/>
      <c r="S40" s="52"/>
      <c r="T40" s="52"/>
      <c r="U40" s="52"/>
    </row>
    <row r="41" spans="1:21" ht="15.75" thickBot="1" x14ac:dyDescent="0.3">
      <c r="A41" s="622" t="s">
        <v>104</v>
      </c>
      <c r="B41" s="623"/>
      <c r="C41" s="623"/>
      <c r="D41" s="314">
        <v>52.5</v>
      </c>
      <c r="F41" s="114" t="s">
        <v>144</v>
      </c>
      <c r="G41" s="116">
        <f t="shared" ref="G41:G44" si="2">G40-(G39-G40)</f>
        <v>0.97</v>
      </c>
      <c r="I41" s="114">
        <v>2055</v>
      </c>
      <c r="J41" s="325">
        <v>18100</v>
      </c>
      <c r="K41" s="325">
        <v>49100</v>
      </c>
      <c r="L41" s="325">
        <v>867600</v>
      </c>
      <c r="M41" s="320">
        <f t="shared" si="1"/>
        <v>211858.58791690657</v>
      </c>
      <c r="N41" s="119">
        <v>89.464285714285694</v>
      </c>
      <c r="R41" s="52"/>
      <c r="S41" s="52"/>
      <c r="T41" s="52"/>
      <c r="U41" s="52"/>
    </row>
    <row r="42" spans="1:21" x14ac:dyDescent="0.25">
      <c r="F42" s="114" t="s">
        <v>145</v>
      </c>
      <c r="G42" s="116">
        <f t="shared" si="2"/>
        <v>0.96</v>
      </c>
      <c r="I42" s="114">
        <v>2056</v>
      </c>
      <c r="J42" s="325">
        <v>18100</v>
      </c>
      <c r="K42" s="325">
        <v>49100</v>
      </c>
      <c r="L42" s="325">
        <v>867600</v>
      </c>
      <c r="M42" s="320">
        <f t="shared" si="1"/>
        <v>211858.58791690657</v>
      </c>
      <c r="N42" s="119">
        <v>90.607142857142904</v>
      </c>
      <c r="R42" s="52"/>
      <c r="S42" s="52"/>
      <c r="T42" s="52"/>
      <c r="U42" s="52"/>
    </row>
    <row r="43" spans="1:21" ht="15.75" thickBot="1" x14ac:dyDescent="0.3">
      <c r="F43" s="114" t="s">
        <v>146</v>
      </c>
      <c r="G43" s="116">
        <f t="shared" si="2"/>
        <v>0.95</v>
      </c>
      <c r="I43" s="115">
        <v>2057</v>
      </c>
      <c r="J43" s="326">
        <v>18100</v>
      </c>
      <c r="K43" s="326">
        <v>49100</v>
      </c>
      <c r="L43" s="326">
        <v>867600</v>
      </c>
      <c r="M43" s="321">
        <f t="shared" si="1"/>
        <v>211858.58791690657</v>
      </c>
      <c r="N43" s="120">
        <v>91.75</v>
      </c>
      <c r="R43" s="52"/>
      <c r="S43" s="52"/>
      <c r="T43" s="52"/>
      <c r="U43" s="52"/>
    </row>
    <row r="44" spans="1:21" ht="15.75" thickBot="1" x14ac:dyDescent="0.3">
      <c r="F44" s="115" t="s">
        <v>147</v>
      </c>
      <c r="G44" s="117">
        <f t="shared" si="2"/>
        <v>0.94</v>
      </c>
      <c r="I44" s="52" t="s">
        <v>129</v>
      </c>
      <c r="R44" s="52"/>
      <c r="S44" s="52"/>
      <c r="T44" s="52"/>
      <c r="U44" s="52"/>
    </row>
    <row r="45" spans="1:21" x14ac:dyDescent="0.25">
      <c r="F45" s="52" t="s">
        <v>148</v>
      </c>
      <c r="I45" s="51" t="s">
        <v>77</v>
      </c>
      <c r="R45" s="52"/>
      <c r="S45" s="52"/>
      <c r="T45" s="52"/>
      <c r="U45" s="52"/>
    </row>
    <row r="47" spans="1:21" x14ac:dyDescent="0.25">
      <c r="I47" s="52"/>
      <c r="R47" s="52"/>
      <c r="S47" s="52"/>
      <c r="T47" s="52"/>
      <c r="U47" s="34"/>
    </row>
    <row r="48" spans="1:21" x14ac:dyDescent="0.25">
      <c r="I48" s="52"/>
      <c r="R48" s="52"/>
      <c r="S48" s="52"/>
      <c r="T48" s="52"/>
      <c r="U48" s="34"/>
    </row>
  </sheetData>
  <mergeCells count="34">
    <mergeCell ref="S32:T32"/>
    <mergeCell ref="I3:N3"/>
    <mergeCell ref="A36:C36"/>
    <mergeCell ref="A33:C33"/>
    <mergeCell ref="A37:C37"/>
    <mergeCell ref="F3:G3"/>
    <mergeCell ref="F4:G4"/>
    <mergeCell ref="F11:G11"/>
    <mergeCell ref="F12:G12"/>
    <mergeCell ref="F17:G17"/>
    <mergeCell ref="A12:D12"/>
    <mergeCell ref="A21:D21"/>
    <mergeCell ref="A22:C22"/>
    <mergeCell ref="F18:G18"/>
    <mergeCell ref="A13:C13"/>
    <mergeCell ref="A14:C14"/>
    <mergeCell ref="A41:C41"/>
    <mergeCell ref="A31:D31"/>
    <mergeCell ref="A39:C39"/>
    <mergeCell ref="A40:C40"/>
    <mergeCell ref="A23:C23"/>
    <mergeCell ref="A38:C38"/>
    <mergeCell ref="A24:C24"/>
    <mergeCell ref="A27:C27"/>
    <mergeCell ref="A28:C28"/>
    <mergeCell ref="A32:C32"/>
    <mergeCell ref="A34:C34"/>
    <mergeCell ref="A35:C35"/>
    <mergeCell ref="A20:C20"/>
    <mergeCell ref="A15:C15"/>
    <mergeCell ref="A16:C16"/>
    <mergeCell ref="A17:C17"/>
    <mergeCell ref="A18:C18"/>
    <mergeCell ref="A19:C19"/>
  </mergeCells>
  <hyperlinks>
    <hyperlink ref="I45" r:id="rId1" xr:uid="{E8359697-FDC2-46C9-A4F0-6CB4FB968CDD}"/>
  </hyperlinks>
  <pageMargins left="0.7" right="0.7" top="0.75" bottom="0.75" header="0.3" footer="0.3"/>
  <pageSetup scale="62" orientation="landscape" horizontalDpi="300" verticalDpi="300" r:id="rId2"/>
  <headerFooter>
    <oddHeader>&amp;LBCA Analysis&amp;CI-680 Highway Preservation&amp;R&amp;D</oddHeader>
    <oddFooter>&amp;RPage 11 of 11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94C3-F386-4C6A-9B4A-8E42E1BA7428}">
  <dimension ref="A1:P94"/>
  <sheetViews>
    <sheetView workbookViewId="0">
      <selection activeCell="B5" sqref="B5:I46"/>
    </sheetView>
  </sheetViews>
  <sheetFormatPr defaultColWidth="8.85546875" defaultRowHeight="15" x14ac:dyDescent="0.25"/>
  <cols>
    <col min="1" max="1" width="25.7109375" style="519" customWidth="1"/>
    <col min="2" max="4" width="20.85546875" style="519" customWidth="1"/>
    <col min="5" max="5" width="16.140625" style="519" customWidth="1"/>
    <col min="6" max="6" width="21.28515625" style="519" bestFit="1" customWidth="1"/>
    <col min="7" max="7" width="20.85546875" style="519" bestFit="1" customWidth="1"/>
    <col min="8" max="8" width="18.7109375" style="519" customWidth="1"/>
    <col min="9" max="9" width="17.28515625" style="519" customWidth="1"/>
    <col min="10" max="10" width="12.28515625" style="519" bestFit="1" customWidth="1"/>
    <col min="11" max="11" width="13.7109375" style="519" bestFit="1" customWidth="1"/>
    <col min="12" max="12" width="19.7109375" style="519" bestFit="1" customWidth="1"/>
    <col min="13" max="13" width="13.5703125" style="519" bestFit="1" customWidth="1"/>
    <col min="14" max="14" width="12.28515625" style="519" bestFit="1" customWidth="1"/>
    <col min="15" max="15" width="11.28515625" style="519" bestFit="1" customWidth="1"/>
    <col min="16" max="16" width="16.5703125" style="519" bestFit="1" customWidth="1"/>
    <col min="17" max="16384" width="8.85546875" style="519"/>
  </cols>
  <sheetData>
    <row r="1" spans="1:16" ht="18.75" x14ac:dyDescent="0.3">
      <c r="A1" s="518" t="s">
        <v>121</v>
      </c>
    </row>
    <row r="2" spans="1:16" x14ac:dyDescent="0.25">
      <c r="B2" s="28"/>
      <c r="C2" s="28"/>
      <c r="D2" s="28"/>
      <c r="E2" s="461"/>
      <c r="F2" s="462"/>
      <c r="G2" s="462"/>
      <c r="H2" s="463"/>
    </row>
    <row r="3" spans="1:16" ht="15.75" thickBot="1" x14ac:dyDescent="0.3">
      <c r="A3" s="18" t="s">
        <v>123</v>
      </c>
      <c r="B3" s="28"/>
      <c r="C3" s="28"/>
      <c r="D3" s="28"/>
      <c r="E3" s="461"/>
      <c r="F3" s="462"/>
      <c r="G3" s="462"/>
      <c r="H3" s="463"/>
    </row>
    <row r="4" spans="1:16" ht="30" x14ac:dyDescent="0.25">
      <c r="A4" s="347" t="s">
        <v>15</v>
      </c>
      <c r="B4" s="352" t="s">
        <v>164</v>
      </c>
      <c r="C4" s="352" t="s">
        <v>165</v>
      </c>
      <c r="D4" s="352" t="s">
        <v>16</v>
      </c>
      <c r="E4" s="352" t="s">
        <v>120</v>
      </c>
      <c r="F4" s="352" t="s">
        <v>17</v>
      </c>
      <c r="G4" s="373" t="s">
        <v>166</v>
      </c>
      <c r="H4" s="359" t="s">
        <v>18</v>
      </c>
      <c r="I4" s="363" t="s">
        <v>130</v>
      </c>
      <c r="J4" s="18"/>
      <c r="K4" s="18"/>
      <c r="L4" s="18"/>
      <c r="M4" s="18"/>
    </row>
    <row r="5" spans="1:16" x14ac:dyDescent="0.25">
      <c r="A5" s="348" t="s">
        <v>19</v>
      </c>
      <c r="B5" s="464"/>
      <c r="C5" s="464">
        <v>44562</v>
      </c>
      <c r="D5" s="464">
        <v>45658</v>
      </c>
      <c r="E5" s="464">
        <v>45658</v>
      </c>
      <c r="F5" s="464">
        <v>46327</v>
      </c>
      <c r="G5" s="465"/>
      <c r="H5" s="360">
        <v>45658</v>
      </c>
      <c r="I5" s="466"/>
      <c r="J5" s="467"/>
      <c r="K5" s="467"/>
      <c r="L5" s="467"/>
      <c r="M5" s="468"/>
    </row>
    <row r="6" spans="1:16" x14ac:dyDescent="0.25">
      <c r="A6" s="348" t="s">
        <v>20</v>
      </c>
      <c r="B6" s="464">
        <v>44377</v>
      </c>
      <c r="C6" s="464">
        <v>45536</v>
      </c>
      <c r="D6" s="464">
        <v>46174</v>
      </c>
      <c r="E6" s="464">
        <v>46174</v>
      </c>
      <c r="F6" s="464">
        <v>46874</v>
      </c>
      <c r="G6" s="465"/>
      <c r="H6" s="360">
        <v>46874</v>
      </c>
      <c r="I6" s="466"/>
      <c r="J6" s="467"/>
      <c r="K6" s="467"/>
      <c r="L6" s="467"/>
      <c r="M6" s="468"/>
    </row>
    <row r="7" spans="1:16" x14ac:dyDescent="0.25">
      <c r="A7" s="348" t="s">
        <v>163</v>
      </c>
      <c r="B7" s="445"/>
      <c r="C7" s="445">
        <v>2771000</v>
      </c>
      <c r="D7" s="445">
        <v>3530000</v>
      </c>
      <c r="E7" s="443">
        <v>1091000</v>
      </c>
      <c r="F7" s="443">
        <v>35633000</v>
      </c>
      <c r="G7" s="375"/>
      <c r="H7" s="361">
        <v>43025000</v>
      </c>
      <c r="I7" s="365"/>
      <c r="J7" s="83"/>
      <c r="K7" s="83"/>
      <c r="L7" s="83"/>
      <c r="M7" s="25"/>
    </row>
    <row r="8" spans="1:16" ht="15.75" thickBot="1" x14ac:dyDescent="0.3">
      <c r="A8" s="349" t="s">
        <v>162</v>
      </c>
      <c r="B8" s="444">
        <v>0</v>
      </c>
      <c r="C8" s="444">
        <v>2715580</v>
      </c>
      <c r="D8" s="444">
        <v>3459400</v>
      </c>
      <c r="E8" s="444">
        <v>1069180</v>
      </c>
      <c r="F8" s="444">
        <v>34920340</v>
      </c>
      <c r="G8" s="444">
        <v>0</v>
      </c>
      <c r="H8" s="362">
        <v>42164500</v>
      </c>
      <c r="I8" s="366"/>
      <c r="J8" s="83"/>
      <c r="K8" s="83"/>
      <c r="L8" s="83"/>
      <c r="M8" s="25"/>
    </row>
    <row r="9" spans="1:16" x14ac:dyDescent="0.25">
      <c r="A9" s="356">
        <v>2021</v>
      </c>
      <c r="B9" s="448">
        <v>0</v>
      </c>
      <c r="C9" s="451">
        <v>0</v>
      </c>
      <c r="D9" s="448">
        <v>0</v>
      </c>
      <c r="E9" s="451">
        <v>0</v>
      </c>
      <c r="F9" s="448">
        <v>0</v>
      </c>
      <c r="G9" s="376">
        <v>0</v>
      </c>
      <c r="H9" s="361">
        <v>0</v>
      </c>
      <c r="I9" s="367">
        <v>0</v>
      </c>
      <c r="J9" s="83"/>
      <c r="K9" s="83"/>
      <c r="L9" s="83"/>
      <c r="M9" s="25"/>
      <c r="P9" s="53"/>
    </row>
    <row r="10" spans="1:16" x14ac:dyDescent="0.25">
      <c r="A10" s="348">
        <v>2022</v>
      </c>
      <c r="B10" s="447">
        <v>0</v>
      </c>
      <c r="C10" s="447">
        <v>933480.625</v>
      </c>
      <c r="D10" s="447">
        <v>0</v>
      </c>
      <c r="E10" s="447">
        <v>0</v>
      </c>
      <c r="F10" s="447">
        <v>0</v>
      </c>
      <c r="G10" s="358">
        <v>0</v>
      </c>
      <c r="H10" s="361">
        <v>933480.625</v>
      </c>
      <c r="I10" s="368">
        <v>872411.79906542052</v>
      </c>
      <c r="J10" s="83"/>
      <c r="K10" s="83"/>
      <c r="L10" s="83"/>
      <c r="M10" s="25"/>
      <c r="O10" s="53"/>
      <c r="P10" s="53"/>
    </row>
    <row r="11" spans="1:16" x14ac:dyDescent="0.25">
      <c r="A11" s="348">
        <v>2023</v>
      </c>
      <c r="B11" s="447">
        <v>0</v>
      </c>
      <c r="C11" s="447">
        <v>1018342.5</v>
      </c>
      <c r="D11" s="447">
        <v>0</v>
      </c>
      <c r="E11" s="447">
        <v>0</v>
      </c>
      <c r="F11" s="447">
        <v>0</v>
      </c>
      <c r="G11" s="358">
        <v>0</v>
      </c>
      <c r="H11" s="361">
        <v>1018342.5</v>
      </c>
      <c r="I11" s="368">
        <v>889459.77814656298</v>
      </c>
      <c r="J11" s="83"/>
      <c r="K11" s="83"/>
      <c r="L11" s="83"/>
      <c r="M11" s="25"/>
      <c r="P11" s="53"/>
    </row>
    <row r="12" spans="1:16" x14ac:dyDescent="0.25">
      <c r="A12" s="348">
        <v>2024</v>
      </c>
      <c r="B12" s="450">
        <v>0</v>
      </c>
      <c r="C12" s="450">
        <v>763756.875</v>
      </c>
      <c r="D12" s="447">
        <v>0</v>
      </c>
      <c r="E12" s="447">
        <v>0</v>
      </c>
      <c r="F12" s="447">
        <v>0</v>
      </c>
      <c r="G12" s="358">
        <v>0</v>
      </c>
      <c r="H12" s="361">
        <v>763756.875</v>
      </c>
      <c r="I12" s="368">
        <v>623453.11552329175</v>
      </c>
      <c r="J12" s="83"/>
      <c r="K12" s="83"/>
      <c r="L12" s="83"/>
      <c r="M12" s="25"/>
      <c r="P12" s="53"/>
    </row>
    <row r="13" spans="1:16" x14ac:dyDescent="0.25">
      <c r="A13" s="348">
        <v>2025</v>
      </c>
      <c r="B13" s="447">
        <v>0</v>
      </c>
      <c r="C13" s="447">
        <v>0</v>
      </c>
      <c r="D13" s="447">
        <v>2238435.2941176472</v>
      </c>
      <c r="E13" s="447">
        <v>691822.3529411765</v>
      </c>
      <c r="F13" s="447">
        <v>0</v>
      </c>
      <c r="G13" s="358">
        <v>0</v>
      </c>
      <c r="H13" s="361">
        <v>2930257.6470588236</v>
      </c>
      <c r="I13" s="368">
        <v>2235479.5290068234</v>
      </c>
      <c r="J13" s="83"/>
      <c r="K13" s="83"/>
      <c r="L13" s="83"/>
      <c r="M13" s="25"/>
      <c r="P13" s="53"/>
    </row>
    <row r="14" spans="1:16" x14ac:dyDescent="0.25">
      <c r="A14" s="348">
        <v>2026</v>
      </c>
      <c r="B14" s="447">
        <v>0</v>
      </c>
      <c r="C14" s="447">
        <v>0</v>
      </c>
      <c r="D14" s="447">
        <v>1220964.705882353</v>
      </c>
      <c r="E14" s="447">
        <v>377357.6470588235</v>
      </c>
      <c r="F14" s="447">
        <v>1940018.888888889</v>
      </c>
      <c r="G14" s="358">
        <v>0</v>
      </c>
      <c r="H14" s="361">
        <v>3538341.2418300654</v>
      </c>
      <c r="I14" s="368">
        <v>2522788.403721917</v>
      </c>
      <c r="J14" s="83"/>
      <c r="K14" s="83"/>
      <c r="L14" s="83"/>
      <c r="M14" s="25"/>
      <c r="P14" s="53"/>
    </row>
    <row r="15" spans="1:16" x14ac:dyDescent="0.25">
      <c r="A15" s="348">
        <v>2027</v>
      </c>
      <c r="B15" s="447">
        <v>0</v>
      </c>
      <c r="C15" s="447">
        <v>0</v>
      </c>
      <c r="D15" s="447">
        <v>0</v>
      </c>
      <c r="E15" s="447">
        <v>0</v>
      </c>
      <c r="F15" s="447">
        <v>23280226.666666668</v>
      </c>
      <c r="G15" s="358">
        <v>0</v>
      </c>
      <c r="H15" s="361">
        <v>23280226.666666668</v>
      </c>
      <c r="I15" s="368">
        <v>15512598.008019144</v>
      </c>
      <c r="J15" s="83"/>
      <c r="K15" s="83"/>
      <c r="L15" s="83"/>
      <c r="M15" s="25"/>
      <c r="O15" s="53"/>
    </row>
    <row r="16" spans="1:16" x14ac:dyDescent="0.25">
      <c r="A16" s="348">
        <v>2028</v>
      </c>
      <c r="B16" s="447">
        <v>0</v>
      </c>
      <c r="C16" s="447">
        <v>0</v>
      </c>
      <c r="D16" s="447">
        <v>0</v>
      </c>
      <c r="E16" s="447">
        <v>0</v>
      </c>
      <c r="F16" s="447">
        <v>9700094.444444444</v>
      </c>
      <c r="G16" s="358">
        <v>0</v>
      </c>
      <c r="H16" s="361">
        <v>9700094.444444444</v>
      </c>
      <c r="I16" s="368">
        <v>6040731.3115339335</v>
      </c>
      <c r="J16" s="83"/>
      <c r="K16" s="83"/>
      <c r="L16" s="83"/>
      <c r="M16" s="25"/>
    </row>
    <row r="17" spans="1:13" x14ac:dyDescent="0.25">
      <c r="A17" s="348">
        <v>2029</v>
      </c>
      <c r="B17" s="447">
        <v>0</v>
      </c>
      <c r="C17" s="447">
        <v>0</v>
      </c>
      <c r="D17" s="447">
        <v>0</v>
      </c>
      <c r="E17" s="447">
        <v>0</v>
      </c>
      <c r="F17" s="447">
        <v>0</v>
      </c>
      <c r="G17" s="358">
        <v>0</v>
      </c>
      <c r="H17" s="361">
        <v>0</v>
      </c>
      <c r="I17" s="368">
        <v>0</v>
      </c>
      <c r="J17" s="83"/>
      <c r="K17" s="83"/>
      <c r="L17" s="83"/>
      <c r="M17" s="25"/>
    </row>
    <row r="18" spans="1:13" x14ac:dyDescent="0.25">
      <c r="A18" s="348">
        <v>2030</v>
      </c>
      <c r="B18" s="447">
        <v>0</v>
      </c>
      <c r="C18" s="447">
        <v>0</v>
      </c>
      <c r="D18" s="447">
        <v>0</v>
      </c>
      <c r="E18" s="447">
        <v>0</v>
      </c>
      <c r="F18" s="447">
        <v>0</v>
      </c>
      <c r="G18" s="358">
        <v>0</v>
      </c>
      <c r="H18" s="361">
        <v>0</v>
      </c>
      <c r="I18" s="368">
        <v>0</v>
      </c>
      <c r="J18" s="83"/>
      <c r="K18" s="83"/>
      <c r="L18" s="83"/>
      <c r="M18" s="25"/>
    </row>
    <row r="19" spans="1:13" x14ac:dyDescent="0.25">
      <c r="A19" s="348">
        <v>2031</v>
      </c>
      <c r="B19" s="447">
        <v>0</v>
      </c>
      <c r="C19" s="447">
        <v>0</v>
      </c>
      <c r="D19" s="447">
        <v>0</v>
      </c>
      <c r="E19" s="447">
        <v>0</v>
      </c>
      <c r="F19" s="447">
        <v>0</v>
      </c>
      <c r="G19" s="358">
        <v>0</v>
      </c>
      <c r="H19" s="361">
        <v>0</v>
      </c>
      <c r="I19" s="368">
        <v>0</v>
      </c>
      <c r="J19" s="83"/>
      <c r="K19" s="83"/>
      <c r="L19" s="83"/>
      <c r="M19" s="25"/>
    </row>
    <row r="20" spans="1:13" x14ac:dyDescent="0.25">
      <c r="A20" s="348">
        <v>2032</v>
      </c>
      <c r="B20" s="447">
        <v>0</v>
      </c>
      <c r="C20" s="447">
        <v>0</v>
      </c>
      <c r="D20" s="447">
        <v>0</v>
      </c>
      <c r="E20" s="447">
        <v>0</v>
      </c>
      <c r="F20" s="447">
        <v>0</v>
      </c>
      <c r="G20" s="358">
        <v>0</v>
      </c>
      <c r="H20" s="361">
        <v>0</v>
      </c>
      <c r="I20" s="368">
        <v>0</v>
      </c>
      <c r="J20" s="83"/>
      <c r="K20" s="83"/>
      <c r="L20" s="83"/>
      <c r="M20" s="25"/>
    </row>
    <row r="21" spans="1:13" x14ac:dyDescent="0.25">
      <c r="A21" s="348">
        <v>2033</v>
      </c>
      <c r="B21" s="447">
        <v>0</v>
      </c>
      <c r="C21" s="447">
        <v>0</v>
      </c>
      <c r="D21" s="447">
        <v>0</v>
      </c>
      <c r="E21" s="447">
        <v>0</v>
      </c>
      <c r="F21" s="447">
        <v>0</v>
      </c>
      <c r="G21" s="358">
        <v>0</v>
      </c>
      <c r="H21" s="361">
        <v>0</v>
      </c>
      <c r="I21" s="368">
        <v>0</v>
      </c>
      <c r="J21" s="83"/>
      <c r="K21" s="83"/>
      <c r="L21" s="83"/>
      <c r="M21" s="25"/>
    </row>
    <row r="22" spans="1:13" x14ac:dyDescent="0.25">
      <c r="A22" s="348">
        <v>2034</v>
      </c>
      <c r="B22" s="447">
        <v>0</v>
      </c>
      <c r="C22" s="447">
        <v>0</v>
      </c>
      <c r="D22" s="447">
        <v>0</v>
      </c>
      <c r="E22" s="447">
        <v>0</v>
      </c>
      <c r="F22" s="447">
        <v>0</v>
      </c>
      <c r="G22" s="358">
        <v>0</v>
      </c>
      <c r="H22" s="361">
        <v>0</v>
      </c>
      <c r="I22" s="368">
        <v>0</v>
      </c>
      <c r="J22" s="83"/>
      <c r="K22" s="83"/>
      <c r="L22" s="83"/>
      <c r="M22" s="25"/>
    </row>
    <row r="23" spans="1:13" x14ac:dyDescent="0.25">
      <c r="A23" s="348">
        <v>2035</v>
      </c>
      <c r="B23" s="447">
        <v>0</v>
      </c>
      <c r="C23" s="447">
        <v>0</v>
      </c>
      <c r="D23" s="447">
        <v>0</v>
      </c>
      <c r="E23" s="447">
        <v>0</v>
      </c>
      <c r="F23" s="447">
        <v>0</v>
      </c>
      <c r="G23" s="358">
        <v>0</v>
      </c>
      <c r="H23" s="361">
        <v>0</v>
      </c>
      <c r="I23" s="368">
        <v>0</v>
      </c>
      <c r="J23" s="83"/>
      <c r="K23" s="83"/>
      <c r="L23" s="83"/>
      <c r="M23" s="25"/>
    </row>
    <row r="24" spans="1:13" x14ac:dyDescent="0.25">
      <c r="A24" s="348">
        <v>2036</v>
      </c>
      <c r="B24" s="447">
        <v>0</v>
      </c>
      <c r="C24" s="447">
        <v>0</v>
      </c>
      <c r="D24" s="447">
        <v>0</v>
      </c>
      <c r="E24" s="447">
        <v>0</v>
      </c>
      <c r="F24" s="447">
        <v>0</v>
      </c>
      <c r="G24" s="358">
        <v>0</v>
      </c>
      <c r="H24" s="361">
        <v>0</v>
      </c>
      <c r="I24" s="368">
        <v>0</v>
      </c>
      <c r="J24" s="83"/>
      <c r="K24" s="83"/>
      <c r="L24" s="83"/>
      <c r="M24" s="25"/>
    </row>
    <row r="25" spans="1:13" x14ac:dyDescent="0.25">
      <c r="A25" s="348">
        <v>2037</v>
      </c>
      <c r="B25" s="447">
        <v>0</v>
      </c>
      <c r="C25" s="447">
        <v>0</v>
      </c>
      <c r="D25" s="447">
        <v>0</v>
      </c>
      <c r="E25" s="447">
        <v>0</v>
      </c>
      <c r="F25" s="447">
        <v>0</v>
      </c>
      <c r="G25" s="358">
        <v>0</v>
      </c>
      <c r="H25" s="361">
        <v>0</v>
      </c>
      <c r="I25" s="368">
        <v>0</v>
      </c>
      <c r="J25" s="83"/>
      <c r="K25" s="83"/>
      <c r="L25" s="83"/>
      <c r="M25" s="25"/>
    </row>
    <row r="26" spans="1:13" x14ac:dyDescent="0.25">
      <c r="A26" s="348">
        <v>2038</v>
      </c>
      <c r="B26" s="447">
        <v>0</v>
      </c>
      <c r="C26" s="447">
        <v>0</v>
      </c>
      <c r="D26" s="447">
        <v>0</v>
      </c>
      <c r="E26" s="447">
        <v>0</v>
      </c>
      <c r="F26" s="447">
        <v>0</v>
      </c>
      <c r="G26" s="358">
        <v>0</v>
      </c>
      <c r="H26" s="361">
        <v>0</v>
      </c>
      <c r="I26" s="368">
        <v>0</v>
      </c>
      <c r="J26" s="83"/>
      <c r="K26" s="83"/>
      <c r="L26" s="83"/>
      <c r="M26" s="25"/>
    </row>
    <row r="27" spans="1:13" x14ac:dyDescent="0.25">
      <c r="A27" s="348">
        <v>2039</v>
      </c>
      <c r="B27" s="447">
        <v>0</v>
      </c>
      <c r="C27" s="447">
        <v>0</v>
      </c>
      <c r="D27" s="447">
        <v>0</v>
      </c>
      <c r="E27" s="447">
        <v>0</v>
      </c>
      <c r="F27" s="447">
        <v>0</v>
      </c>
      <c r="G27" s="358">
        <v>0</v>
      </c>
      <c r="H27" s="361">
        <v>0</v>
      </c>
      <c r="I27" s="368">
        <v>0</v>
      </c>
      <c r="J27" s="83"/>
      <c r="K27" s="83"/>
      <c r="L27" s="83"/>
      <c r="M27" s="25"/>
    </row>
    <row r="28" spans="1:13" x14ac:dyDescent="0.25">
      <c r="A28" s="348">
        <v>2040</v>
      </c>
      <c r="B28" s="447">
        <v>0</v>
      </c>
      <c r="C28" s="447">
        <v>0</v>
      </c>
      <c r="D28" s="447">
        <v>0</v>
      </c>
      <c r="E28" s="447">
        <v>0</v>
      </c>
      <c r="F28" s="447">
        <v>0</v>
      </c>
      <c r="G28" s="358">
        <v>0</v>
      </c>
      <c r="H28" s="361">
        <v>0</v>
      </c>
      <c r="I28" s="368">
        <v>0</v>
      </c>
      <c r="J28" s="83"/>
      <c r="K28" s="83"/>
      <c r="L28" s="83"/>
      <c r="M28" s="25"/>
    </row>
    <row r="29" spans="1:13" x14ac:dyDescent="0.25">
      <c r="A29" s="348">
        <v>2041</v>
      </c>
      <c r="B29" s="447">
        <v>0</v>
      </c>
      <c r="C29" s="447">
        <v>0</v>
      </c>
      <c r="D29" s="447">
        <v>0</v>
      </c>
      <c r="E29" s="447">
        <v>0</v>
      </c>
      <c r="F29" s="447">
        <v>0</v>
      </c>
      <c r="G29" s="358">
        <v>0</v>
      </c>
      <c r="H29" s="361">
        <v>0</v>
      </c>
      <c r="I29" s="368">
        <v>0</v>
      </c>
      <c r="J29" s="83"/>
      <c r="K29" s="83"/>
      <c r="L29" s="83"/>
      <c r="M29" s="25"/>
    </row>
    <row r="30" spans="1:13" x14ac:dyDescent="0.25">
      <c r="A30" s="348">
        <v>2042</v>
      </c>
      <c r="B30" s="447">
        <v>0</v>
      </c>
      <c r="C30" s="447">
        <v>0</v>
      </c>
      <c r="D30" s="447">
        <v>0</v>
      </c>
      <c r="E30" s="447">
        <v>0</v>
      </c>
      <c r="F30" s="447">
        <v>0</v>
      </c>
      <c r="G30" s="358">
        <v>0</v>
      </c>
      <c r="H30" s="361">
        <v>0</v>
      </c>
      <c r="I30" s="368">
        <v>0</v>
      </c>
      <c r="J30" s="83"/>
      <c r="K30" s="83"/>
      <c r="L30" s="83"/>
      <c r="M30" s="25"/>
    </row>
    <row r="31" spans="1:13" x14ac:dyDescent="0.25">
      <c r="A31" s="348">
        <v>2043</v>
      </c>
      <c r="B31" s="447">
        <v>0</v>
      </c>
      <c r="C31" s="447">
        <v>0</v>
      </c>
      <c r="D31" s="447">
        <v>0</v>
      </c>
      <c r="E31" s="447">
        <v>0</v>
      </c>
      <c r="F31" s="447">
        <v>0</v>
      </c>
      <c r="G31" s="358">
        <v>0</v>
      </c>
      <c r="H31" s="361">
        <v>0</v>
      </c>
      <c r="I31" s="368">
        <v>0</v>
      </c>
      <c r="J31" s="83"/>
      <c r="K31" s="83"/>
      <c r="L31" s="83"/>
      <c r="M31" s="25"/>
    </row>
    <row r="32" spans="1:13" x14ac:dyDescent="0.25">
      <c r="A32" s="348">
        <v>2044</v>
      </c>
      <c r="B32" s="447">
        <v>0</v>
      </c>
      <c r="C32" s="447">
        <v>0</v>
      </c>
      <c r="D32" s="447">
        <v>0</v>
      </c>
      <c r="E32" s="447">
        <v>0</v>
      </c>
      <c r="F32" s="447">
        <v>0</v>
      </c>
      <c r="G32" s="358">
        <v>0</v>
      </c>
      <c r="H32" s="361">
        <v>0</v>
      </c>
      <c r="I32" s="368">
        <v>0</v>
      </c>
      <c r="J32" s="83"/>
      <c r="K32" s="83"/>
      <c r="L32" s="83"/>
      <c r="M32" s="25"/>
    </row>
    <row r="33" spans="1:13" x14ac:dyDescent="0.25">
      <c r="A33" s="348">
        <v>2045</v>
      </c>
      <c r="B33" s="447">
        <v>0</v>
      </c>
      <c r="C33" s="447">
        <v>0</v>
      </c>
      <c r="D33" s="447">
        <v>0</v>
      </c>
      <c r="E33" s="447">
        <v>0</v>
      </c>
      <c r="F33" s="447">
        <v>0</v>
      </c>
      <c r="G33" s="358">
        <v>0</v>
      </c>
      <c r="H33" s="361">
        <v>0</v>
      </c>
      <c r="I33" s="368">
        <v>0</v>
      </c>
      <c r="J33" s="83"/>
      <c r="K33" s="83"/>
      <c r="L33" s="83"/>
      <c r="M33" s="25"/>
    </row>
    <row r="34" spans="1:13" x14ac:dyDescent="0.25">
      <c r="A34" s="348">
        <v>2046</v>
      </c>
      <c r="B34" s="447">
        <v>0</v>
      </c>
      <c r="C34" s="447">
        <v>0</v>
      </c>
      <c r="D34" s="447">
        <v>0</v>
      </c>
      <c r="E34" s="447">
        <v>0</v>
      </c>
      <c r="F34" s="447">
        <v>0</v>
      </c>
      <c r="G34" s="358">
        <v>0</v>
      </c>
      <c r="H34" s="361">
        <v>0</v>
      </c>
      <c r="I34" s="368">
        <v>0</v>
      </c>
      <c r="J34" s="83"/>
      <c r="K34" s="83"/>
      <c r="L34" s="83"/>
      <c r="M34" s="25"/>
    </row>
    <row r="35" spans="1:13" x14ac:dyDescent="0.25">
      <c r="A35" s="348">
        <v>2047</v>
      </c>
      <c r="B35" s="447">
        <v>0</v>
      </c>
      <c r="C35" s="447">
        <v>0</v>
      </c>
      <c r="D35" s="447">
        <v>0</v>
      </c>
      <c r="E35" s="447">
        <v>0</v>
      </c>
      <c r="F35" s="447">
        <v>0</v>
      </c>
      <c r="G35" s="358">
        <v>0</v>
      </c>
      <c r="H35" s="361">
        <v>0</v>
      </c>
      <c r="I35" s="368">
        <v>0</v>
      </c>
      <c r="J35" s="83"/>
      <c r="K35" s="83"/>
      <c r="L35" s="83"/>
      <c r="M35" s="25"/>
    </row>
    <row r="36" spans="1:13" x14ac:dyDescent="0.25">
      <c r="A36" s="348">
        <v>2048</v>
      </c>
      <c r="B36" s="447">
        <v>0</v>
      </c>
      <c r="C36" s="447">
        <v>0</v>
      </c>
      <c r="D36" s="447">
        <v>0</v>
      </c>
      <c r="E36" s="447">
        <v>0</v>
      </c>
      <c r="F36" s="447">
        <v>16865800</v>
      </c>
      <c r="G36" s="358">
        <v>0</v>
      </c>
      <c r="H36" s="361">
        <v>16865800</v>
      </c>
      <c r="I36" s="368">
        <v>2714219.3888152572</v>
      </c>
      <c r="J36" s="83" t="s">
        <v>199</v>
      </c>
      <c r="K36" s="83"/>
      <c r="L36" s="83"/>
      <c r="M36" s="25"/>
    </row>
    <row r="37" spans="1:13" x14ac:dyDescent="0.25">
      <c r="A37" s="348">
        <v>2049</v>
      </c>
      <c r="B37" s="447">
        <v>0</v>
      </c>
      <c r="C37" s="447">
        <v>0</v>
      </c>
      <c r="D37" s="447">
        <v>0</v>
      </c>
      <c r="E37" s="447">
        <v>0</v>
      </c>
      <c r="F37" s="447">
        <v>0</v>
      </c>
      <c r="G37" s="358">
        <v>0</v>
      </c>
      <c r="H37" s="361">
        <v>0</v>
      </c>
      <c r="I37" s="368">
        <v>0</v>
      </c>
      <c r="J37" s="83"/>
      <c r="K37" s="83"/>
      <c r="L37" s="83"/>
      <c r="M37" s="25"/>
    </row>
    <row r="38" spans="1:13" x14ac:dyDescent="0.25">
      <c r="A38" s="348">
        <v>2050</v>
      </c>
      <c r="B38" s="447">
        <v>0</v>
      </c>
      <c r="C38" s="447">
        <v>0</v>
      </c>
      <c r="D38" s="447">
        <v>0</v>
      </c>
      <c r="E38" s="447">
        <v>0</v>
      </c>
      <c r="F38" s="447">
        <v>0</v>
      </c>
      <c r="G38" s="358">
        <v>0</v>
      </c>
      <c r="H38" s="361">
        <v>0</v>
      </c>
      <c r="I38" s="368">
        <v>0</v>
      </c>
      <c r="J38" s="83"/>
      <c r="K38" s="83"/>
      <c r="L38" s="83"/>
      <c r="M38" s="25"/>
    </row>
    <row r="39" spans="1:13" x14ac:dyDescent="0.25">
      <c r="A39" s="348">
        <v>2051</v>
      </c>
      <c r="B39" s="447">
        <v>0</v>
      </c>
      <c r="C39" s="447">
        <v>0</v>
      </c>
      <c r="D39" s="447">
        <v>0</v>
      </c>
      <c r="E39" s="447">
        <v>0</v>
      </c>
      <c r="F39" s="447">
        <v>0</v>
      </c>
      <c r="G39" s="358">
        <v>0</v>
      </c>
      <c r="H39" s="361">
        <v>0</v>
      </c>
      <c r="I39" s="368">
        <v>0</v>
      </c>
      <c r="J39" s="83"/>
      <c r="K39" s="83"/>
      <c r="L39" s="83"/>
      <c r="M39" s="25"/>
    </row>
    <row r="40" spans="1:13" x14ac:dyDescent="0.25">
      <c r="A40" s="348">
        <v>2052</v>
      </c>
      <c r="B40" s="447">
        <v>0</v>
      </c>
      <c r="C40" s="447">
        <v>0</v>
      </c>
      <c r="D40" s="447">
        <v>0</v>
      </c>
      <c r="E40" s="447">
        <v>0</v>
      </c>
      <c r="F40" s="447">
        <v>0</v>
      </c>
      <c r="G40" s="358">
        <v>0</v>
      </c>
      <c r="H40" s="361">
        <v>0</v>
      </c>
      <c r="I40" s="368">
        <v>0</v>
      </c>
      <c r="J40" s="83"/>
      <c r="K40" s="83"/>
      <c r="L40" s="83"/>
      <c r="M40" s="25"/>
    </row>
    <row r="41" spans="1:13" x14ac:dyDescent="0.25">
      <c r="A41" s="348">
        <v>2053</v>
      </c>
      <c r="B41" s="447">
        <v>0</v>
      </c>
      <c r="C41" s="447">
        <v>0</v>
      </c>
      <c r="D41" s="447">
        <v>0</v>
      </c>
      <c r="E41" s="447">
        <v>0</v>
      </c>
      <c r="F41" s="447">
        <v>0</v>
      </c>
      <c r="G41" s="358">
        <v>0</v>
      </c>
      <c r="H41" s="361">
        <v>0</v>
      </c>
      <c r="I41" s="368">
        <v>0</v>
      </c>
      <c r="J41" s="83"/>
      <c r="K41" s="83"/>
      <c r="L41" s="83"/>
      <c r="M41" s="25"/>
    </row>
    <row r="42" spans="1:13" x14ac:dyDescent="0.25">
      <c r="A42" s="348">
        <v>2054</v>
      </c>
      <c r="B42" s="447">
        <v>0</v>
      </c>
      <c r="C42" s="447">
        <v>0</v>
      </c>
      <c r="D42" s="447">
        <v>0</v>
      </c>
      <c r="E42" s="447">
        <v>0</v>
      </c>
      <c r="F42" s="447">
        <v>0</v>
      </c>
      <c r="G42" s="358">
        <v>0</v>
      </c>
      <c r="H42" s="361">
        <v>0</v>
      </c>
      <c r="I42" s="368">
        <v>0</v>
      </c>
      <c r="J42" s="83"/>
      <c r="K42" s="83"/>
      <c r="L42" s="83"/>
      <c r="M42" s="25"/>
    </row>
    <row r="43" spans="1:13" x14ac:dyDescent="0.25">
      <c r="A43" s="348">
        <v>2055</v>
      </c>
      <c r="B43" s="447">
        <v>0</v>
      </c>
      <c r="C43" s="447">
        <v>0</v>
      </c>
      <c r="D43" s="447">
        <v>0</v>
      </c>
      <c r="E43" s="447">
        <v>0</v>
      </c>
      <c r="F43" s="447">
        <v>0</v>
      </c>
      <c r="G43" s="358">
        <v>0</v>
      </c>
      <c r="H43" s="361">
        <v>0</v>
      </c>
      <c r="I43" s="368">
        <v>0</v>
      </c>
      <c r="J43" s="83"/>
      <c r="K43" s="83"/>
      <c r="L43" s="83"/>
      <c r="M43" s="25"/>
    </row>
    <row r="44" spans="1:13" x14ac:dyDescent="0.25">
      <c r="A44" s="348">
        <v>2056</v>
      </c>
      <c r="B44" s="447">
        <v>0</v>
      </c>
      <c r="C44" s="447">
        <v>0</v>
      </c>
      <c r="D44" s="447">
        <v>0</v>
      </c>
      <c r="E44" s="447">
        <v>0</v>
      </c>
      <c r="F44" s="447">
        <v>0</v>
      </c>
      <c r="G44" s="358">
        <v>0</v>
      </c>
      <c r="H44" s="361">
        <v>0</v>
      </c>
      <c r="I44" s="368">
        <v>0</v>
      </c>
      <c r="J44" s="83"/>
      <c r="K44" s="83"/>
      <c r="L44" s="83"/>
      <c r="M44" s="25"/>
    </row>
    <row r="45" spans="1:13" x14ac:dyDescent="0.25">
      <c r="A45" s="455">
        <v>2057</v>
      </c>
      <c r="B45" s="456">
        <v>0</v>
      </c>
      <c r="C45" s="456">
        <v>0</v>
      </c>
      <c r="D45" s="456">
        <v>0</v>
      </c>
      <c r="E45" s="456">
        <v>0</v>
      </c>
      <c r="F45" s="456">
        <v>0</v>
      </c>
      <c r="G45" s="457">
        <v>0</v>
      </c>
      <c r="H45" s="361">
        <v>0</v>
      </c>
      <c r="I45" s="459">
        <v>0</v>
      </c>
      <c r="J45" s="83"/>
      <c r="K45" s="83"/>
      <c r="L45" s="83"/>
      <c r="M45" s="25"/>
    </row>
    <row r="46" spans="1:13" ht="15.75" thickBot="1" x14ac:dyDescent="0.3">
      <c r="A46" s="349" t="s">
        <v>18</v>
      </c>
      <c r="B46" s="355">
        <v>0</v>
      </c>
      <c r="C46" s="469">
        <v>2715580</v>
      </c>
      <c r="D46" s="469">
        <v>3459400</v>
      </c>
      <c r="E46" s="469">
        <v>1069180</v>
      </c>
      <c r="F46" s="469">
        <v>51786140</v>
      </c>
      <c r="G46" s="469">
        <v>0</v>
      </c>
      <c r="H46" s="469">
        <v>59030300</v>
      </c>
      <c r="I46" s="369">
        <v>31411141.33383235</v>
      </c>
      <c r="J46" s="83"/>
      <c r="K46" s="83"/>
      <c r="L46" s="83"/>
      <c r="M46" s="25"/>
    </row>
    <row r="47" spans="1:13" x14ac:dyDescent="0.25">
      <c r="A47" s="90" t="s">
        <v>21</v>
      </c>
      <c r="B47" s="28"/>
      <c r="C47" s="28"/>
      <c r="D47" s="28"/>
      <c r="E47" s="461"/>
      <c r="F47" s="28"/>
      <c r="G47" s="28"/>
      <c r="H47" s="28"/>
    </row>
    <row r="48" spans="1:13" x14ac:dyDescent="0.25">
      <c r="A48" s="80"/>
      <c r="E48" s="470"/>
      <c r="F48" s="463"/>
      <c r="G48" s="463"/>
      <c r="H48" s="463"/>
    </row>
    <row r="49" spans="1:8" x14ac:dyDescent="0.25">
      <c r="B49" s="28"/>
      <c r="C49" s="28"/>
      <c r="D49" s="28"/>
      <c r="E49" s="461"/>
      <c r="F49" s="28"/>
      <c r="G49" s="28"/>
      <c r="H49" s="28"/>
    </row>
    <row r="50" spans="1:8" ht="15.75" thickBot="1" x14ac:dyDescent="0.3">
      <c r="A50" s="18" t="s">
        <v>7</v>
      </c>
    </row>
    <row r="51" spans="1:8" x14ac:dyDescent="0.25">
      <c r="A51" s="471" t="s">
        <v>13</v>
      </c>
      <c r="B51" s="84"/>
      <c r="C51" s="84"/>
      <c r="D51" s="84">
        <v>20</v>
      </c>
    </row>
    <row r="52" spans="1:8" x14ac:dyDescent="0.25">
      <c r="A52" s="472" t="s">
        <v>14</v>
      </c>
      <c r="B52" s="85"/>
      <c r="C52" s="85"/>
      <c r="D52" s="85">
        <v>9</v>
      </c>
      <c r="E52" s="519" t="s">
        <v>200</v>
      </c>
    </row>
    <row r="53" spans="1:8" x14ac:dyDescent="0.25">
      <c r="A53" s="472" t="s">
        <v>167</v>
      </c>
      <c r="B53" s="473"/>
      <c r="C53" s="473"/>
      <c r="D53" s="473">
        <f>H36</f>
        <v>16865800</v>
      </c>
      <c r="E53" s="519" t="s">
        <v>201</v>
      </c>
    </row>
    <row r="54" spans="1:8" x14ac:dyDescent="0.25">
      <c r="A54" s="472" t="s">
        <v>191</v>
      </c>
      <c r="B54" s="87"/>
      <c r="C54" s="87"/>
      <c r="D54" s="87">
        <f>D53*((D51-D52)/D51)</f>
        <v>9276190</v>
      </c>
    </row>
    <row r="55" spans="1:8" ht="30.75" thickBot="1" x14ac:dyDescent="0.3">
      <c r="A55" s="75" t="s">
        <v>168</v>
      </c>
      <c r="B55" s="89"/>
      <c r="C55" s="89"/>
      <c r="D55" s="89">
        <f>D54*(1.07)^-D52</f>
        <v>5045632.7436216483</v>
      </c>
    </row>
    <row r="56" spans="1:8" x14ac:dyDescent="0.25">
      <c r="B56" s="28"/>
      <c r="C56" s="28"/>
      <c r="D56" s="28"/>
      <c r="E56" s="461"/>
      <c r="F56" s="28"/>
      <c r="G56" s="28"/>
      <c r="H56" s="28"/>
    </row>
    <row r="57" spans="1:8" x14ac:dyDescent="0.25">
      <c r="A57" s="16"/>
      <c r="B57" s="28"/>
      <c r="C57" s="28"/>
      <c r="D57" s="28"/>
      <c r="E57" s="461"/>
      <c r="F57" s="462"/>
      <c r="G57" s="462"/>
      <c r="H57" s="28"/>
    </row>
    <row r="58" spans="1:8" x14ac:dyDescent="0.25">
      <c r="B58" s="28"/>
      <c r="C58" s="28"/>
      <c r="D58" s="28"/>
      <c r="E58" s="461"/>
    </row>
    <row r="59" spans="1:8" x14ac:dyDescent="0.25">
      <c r="B59" s="28"/>
      <c r="C59" s="28"/>
      <c r="D59" s="28"/>
      <c r="E59" s="461"/>
    </row>
    <row r="60" spans="1:8" x14ac:dyDescent="0.25">
      <c r="A60" s="1"/>
      <c r="B60" s="29"/>
      <c r="C60" s="29"/>
      <c r="D60" s="29"/>
    </row>
    <row r="61" spans="1:8" x14ac:dyDescent="0.25">
      <c r="B61" s="28"/>
      <c r="C61" s="28"/>
      <c r="D61" s="28"/>
      <c r="E61" s="461"/>
    </row>
    <row r="62" spans="1:8" x14ac:dyDescent="0.25">
      <c r="B62" s="30"/>
      <c r="C62" s="30"/>
      <c r="D62" s="30"/>
      <c r="F62" s="31"/>
      <c r="G62" s="31"/>
    </row>
    <row r="63" spans="1:8" x14ac:dyDescent="0.25">
      <c r="B63" s="30"/>
      <c r="C63" s="30"/>
      <c r="D63" s="30"/>
      <c r="F63" s="32"/>
      <c r="G63" s="32"/>
      <c r="H63" s="520"/>
    </row>
    <row r="64" spans="1:8" x14ac:dyDescent="0.25">
      <c r="B64" s="30"/>
      <c r="C64" s="30"/>
      <c r="D64" s="30"/>
      <c r="F64" s="31"/>
      <c r="G64" s="31"/>
    </row>
    <row r="65" spans="1:8" x14ac:dyDescent="0.25">
      <c r="B65" s="30"/>
      <c r="C65" s="30"/>
      <c r="D65" s="30"/>
      <c r="F65" s="31"/>
      <c r="G65" s="31"/>
    </row>
    <row r="66" spans="1:8" x14ac:dyDescent="0.25">
      <c r="B66" s="30"/>
      <c r="C66" s="30"/>
      <c r="D66" s="30"/>
      <c r="F66" s="28"/>
      <c r="G66" s="28"/>
    </row>
    <row r="67" spans="1:8" x14ac:dyDescent="0.25">
      <c r="B67" s="30"/>
      <c r="C67" s="30"/>
      <c r="D67" s="30"/>
      <c r="F67" s="28"/>
      <c r="G67" s="28"/>
    </row>
    <row r="68" spans="1:8" x14ac:dyDescent="0.25">
      <c r="B68" s="30"/>
      <c r="C68" s="30"/>
      <c r="D68" s="30"/>
      <c r="F68" s="28"/>
      <c r="G68" s="28"/>
    </row>
    <row r="69" spans="1:8" x14ac:dyDescent="0.25">
      <c r="B69" s="30"/>
      <c r="C69" s="30"/>
      <c r="D69" s="30"/>
      <c r="F69" s="33"/>
      <c r="G69" s="33"/>
    </row>
    <row r="70" spans="1:8" x14ac:dyDescent="0.25">
      <c r="B70" s="30"/>
      <c r="C70" s="30"/>
      <c r="D70" s="30"/>
      <c r="F70" s="33"/>
      <c r="G70" s="33"/>
    </row>
    <row r="71" spans="1:8" x14ac:dyDescent="0.25">
      <c r="E71" s="520"/>
    </row>
    <row r="72" spans="1:8" x14ac:dyDescent="0.25">
      <c r="A72" s="30"/>
      <c r="B72" s="34"/>
      <c r="C72" s="34"/>
      <c r="D72" s="34"/>
      <c r="E72" s="35"/>
      <c r="F72" s="34"/>
      <c r="G72" s="34"/>
    </row>
    <row r="73" spans="1:8" x14ac:dyDescent="0.25">
      <c r="A73" s="30"/>
      <c r="B73" s="34"/>
      <c r="C73" s="34"/>
      <c r="D73" s="34"/>
      <c r="E73" s="35"/>
      <c r="F73" s="34"/>
      <c r="G73" s="34"/>
    </row>
    <row r="74" spans="1:8" x14ac:dyDescent="0.25">
      <c r="A74" s="30"/>
      <c r="B74" s="34"/>
      <c r="C74" s="34"/>
      <c r="D74" s="34"/>
      <c r="E74" s="35"/>
      <c r="F74" s="34"/>
      <c r="G74" s="34"/>
    </row>
    <row r="75" spans="1:8" x14ac:dyDescent="0.25">
      <c r="A75" s="30"/>
      <c r="B75" s="34"/>
      <c r="C75" s="34"/>
      <c r="D75" s="34"/>
      <c r="E75" s="35"/>
      <c r="F75" s="34"/>
      <c r="G75" s="34"/>
    </row>
    <row r="76" spans="1:8" x14ac:dyDescent="0.25">
      <c r="A76" s="30"/>
      <c r="E76" s="520"/>
      <c r="F76" s="34"/>
      <c r="G76" s="34"/>
    </row>
    <row r="77" spans="1:8" x14ac:dyDescent="0.25">
      <c r="A77" s="30"/>
      <c r="B77" s="28"/>
      <c r="C77" s="28"/>
      <c r="D77" s="28"/>
    </row>
    <row r="78" spans="1:8" x14ac:dyDescent="0.25">
      <c r="A78" s="36"/>
    </row>
    <row r="79" spans="1:8" x14ac:dyDescent="0.25">
      <c r="A79" s="36"/>
    </row>
    <row r="80" spans="1:8" x14ac:dyDescent="0.25">
      <c r="A80" s="30"/>
      <c r="B80" s="38"/>
      <c r="C80" s="38"/>
      <c r="D80" s="38"/>
      <c r="E80" s="38"/>
      <c r="F80" s="38"/>
      <c r="G80" s="38"/>
      <c r="H80" s="38"/>
    </row>
    <row r="81" spans="1:8" x14ac:dyDescent="0.25">
      <c r="A81" s="30"/>
      <c r="B81" s="38"/>
      <c r="C81" s="38"/>
      <c r="D81" s="38"/>
      <c r="E81" s="38"/>
      <c r="F81" s="38"/>
      <c r="G81" s="38"/>
      <c r="H81" s="38"/>
    </row>
    <row r="82" spans="1:8" x14ac:dyDescent="0.25">
      <c r="A82" s="30"/>
      <c r="B82" s="37"/>
      <c r="C82" s="37"/>
      <c r="D82" s="37"/>
      <c r="E82" s="37"/>
      <c r="F82" s="37"/>
      <c r="G82" s="37"/>
      <c r="H82" s="37"/>
    </row>
    <row r="83" spans="1:8" x14ac:dyDescent="0.25">
      <c r="A83" s="30"/>
      <c r="B83" s="37"/>
      <c r="C83" s="37"/>
      <c r="D83" s="37"/>
      <c r="E83" s="37"/>
      <c r="F83" s="37"/>
      <c r="G83" s="37"/>
      <c r="H83" s="37"/>
    </row>
    <row r="84" spans="1:8" x14ac:dyDescent="0.25">
      <c r="A84" s="30"/>
      <c r="B84" s="37"/>
      <c r="C84" s="37"/>
      <c r="D84" s="37"/>
      <c r="E84" s="37"/>
      <c r="F84" s="37"/>
      <c r="G84" s="37"/>
      <c r="H84" s="37"/>
    </row>
    <row r="85" spans="1:8" x14ac:dyDescent="0.25">
      <c r="A85" s="30"/>
      <c r="B85" s="37"/>
      <c r="C85" s="37"/>
      <c r="D85" s="37"/>
      <c r="E85" s="37"/>
      <c r="F85" s="37"/>
      <c r="G85" s="37"/>
      <c r="H85" s="37"/>
    </row>
    <row r="86" spans="1:8" x14ac:dyDescent="0.25">
      <c r="A86" s="30"/>
      <c r="B86" s="37"/>
      <c r="C86" s="37"/>
      <c r="D86" s="37"/>
      <c r="E86" s="37"/>
      <c r="F86" s="37"/>
      <c r="G86" s="37"/>
      <c r="H86" s="37"/>
    </row>
    <row r="87" spans="1:8" x14ac:dyDescent="0.25">
      <c r="A87" s="30"/>
      <c r="B87" s="37"/>
      <c r="C87" s="37"/>
      <c r="D87" s="37"/>
      <c r="E87" s="37"/>
      <c r="F87" s="37"/>
      <c r="G87" s="37"/>
      <c r="H87" s="37"/>
    </row>
    <row r="88" spans="1:8" x14ac:dyDescent="0.25">
      <c r="A88" s="30"/>
      <c r="B88" s="37"/>
      <c r="C88" s="37"/>
      <c r="D88" s="37"/>
      <c r="E88" s="37"/>
      <c r="F88" s="37"/>
      <c r="G88" s="37"/>
      <c r="H88" s="37"/>
    </row>
    <row r="89" spans="1:8" x14ac:dyDescent="0.25">
      <c r="A89" s="30"/>
      <c r="B89" s="37"/>
      <c r="C89" s="37"/>
      <c r="D89" s="37"/>
      <c r="E89" s="37"/>
      <c r="F89" s="37"/>
      <c r="G89" s="37"/>
      <c r="H89" s="37"/>
    </row>
    <row r="90" spans="1:8" x14ac:dyDescent="0.25">
      <c r="A90" s="30"/>
      <c r="B90" s="37"/>
      <c r="C90" s="37"/>
      <c r="D90" s="37"/>
      <c r="E90" s="37"/>
      <c r="F90" s="37"/>
      <c r="G90" s="37"/>
      <c r="H90" s="37"/>
    </row>
    <row r="91" spans="1:8" x14ac:dyDescent="0.25">
      <c r="A91" s="30"/>
      <c r="B91" s="37"/>
      <c r="C91" s="37"/>
      <c r="D91" s="37"/>
      <c r="E91" s="37"/>
      <c r="F91" s="37"/>
      <c r="G91" s="37"/>
      <c r="H91" s="37"/>
    </row>
    <row r="92" spans="1:8" x14ac:dyDescent="0.25">
      <c r="A92" s="30"/>
      <c r="B92" s="37"/>
      <c r="C92" s="37"/>
      <c r="D92" s="37"/>
      <c r="E92" s="37"/>
      <c r="F92" s="37"/>
      <c r="G92" s="37"/>
      <c r="H92" s="37"/>
    </row>
    <row r="93" spans="1:8" x14ac:dyDescent="0.25">
      <c r="A93" s="30"/>
      <c r="B93" s="37"/>
      <c r="C93" s="37"/>
      <c r="D93" s="37"/>
      <c r="E93" s="37"/>
      <c r="F93" s="37"/>
      <c r="G93" s="37"/>
      <c r="H93" s="37"/>
    </row>
    <row r="94" spans="1:8" x14ac:dyDescent="0.25">
      <c r="A94" s="30"/>
      <c r="B94" s="37"/>
      <c r="C94" s="37"/>
      <c r="D94" s="37"/>
      <c r="E94" s="37"/>
      <c r="F94" s="37"/>
      <c r="G94" s="37"/>
      <c r="H94" s="37"/>
    </row>
  </sheetData>
  <pageMargins left="0.7" right="0.7" top="0.75" bottom="0.75" header="0.3" footer="0.3"/>
  <pageSetup orientation="portrait" r:id="rId1"/>
  <headerFooter>
    <oddHeader>&amp;CI-680 Highway Preservation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4ABA-C6B1-4B49-BB9C-DB996BAFCC8C}">
  <dimension ref="B1:P169"/>
  <sheetViews>
    <sheetView topLeftCell="A2" zoomScale="60" zoomScaleNormal="60" workbookViewId="0">
      <selection activeCell="J23" sqref="J23"/>
    </sheetView>
  </sheetViews>
  <sheetFormatPr defaultColWidth="8.85546875" defaultRowHeight="15" x14ac:dyDescent="0.25"/>
  <cols>
    <col min="1" max="1" width="5.140625" style="378" customWidth="1"/>
    <col min="2" max="2" width="42.7109375" style="378" bestFit="1" customWidth="1"/>
    <col min="3" max="4" width="12.140625" style="378" customWidth="1"/>
    <col min="5" max="5" width="15.5703125" style="378" customWidth="1"/>
    <col min="6" max="6" width="17.140625" style="378" customWidth="1"/>
    <col min="7" max="8" width="18.28515625" style="378" bestFit="1" customWidth="1"/>
    <col min="9" max="9" width="20.28515625" style="378" customWidth="1"/>
    <col min="10" max="10" width="15" style="378" customWidth="1"/>
    <col min="11" max="11" width="13.5703125" style="378" customWidth="1"/>
    <col min="12" max="12" width="17.28515625" style="378" bestFit="1" customWidth="1"/>
    <col min="13" max="13" width="20.140625" style="378" bestFit="1" customWidth="1"/>
    <col min="14" max="14" width="24.85546875" style="378" customWidth="1"/>
    <col min="15" max="15" width="19.7109375" style="378" customWidth="1"/>
    <col min="16" max="16" width="11.7109375" style="378" bestFit="1" customWidth="1"/>
    <col min="17" max="17" width="8.28515625" style="378" bestFit="1" customWidth="1"/>
    <col min="18" max="18" width="9.85546875" style="378" bestFit="1" customWidth="1"/>
    <col min="19" max="19" width="8.42578125" style="378" bestFit="1" customWidth="1"/>
    <col min="20" max="21" width="9.5703125" style="378" bestFit="1" customWidth="1"/>
    <col min="22" max="22" width="11" style="378" bestFit="1" customWidth="1"/>
    <col min="23" max="23" width="6" style="378" bestFit="1" customWidth="1"/>
    <col min="24" max="24" width="5.28515625" style="378" bestFit="1" customWidth="1"/>
    <col min="25" max="16384" width="8.85546875" style="378"/>
  </cols>
  <sheetData>
    <row r="1" spans="2:16" ht="18.75" x14ac:dyDescent="0.3">
      <c r="B1" s="79" t="s">
        <v>126</v>
      </c>
    </row>
    <row r="3" spans="2:16" ht="15.75" thickBot="1" x14ac:dyDescent="0.3">
      <c r="B3" s="18" t="s">
        <v>138</v>
      </c>
    </row>
    <row r="4" spans="2:16" x14ac:dyDescent="0.25">
      <c r="B4" s="574" t="s">
        <v>1</v>
      </c>
      <c r="C4" s="576" t="s">
        <v>2</v>
      </c>
      <c r="D4" s="584" t="s">
        <v>22</v>
      </c>
      <c r="E4" s="586" t="s">
        <v>47</v>
      </c>
      <c r="F4" s="580" t="s">
        <v>48</v>
      </c>
      <c r="G4" s="573"/>
      <c r="H4" s="567"/>
      <c r="I4" s="580" t="s">
        <v>49</v>
      </c>
      <c r="J4" s="573"/>
      <c r="K4" s="567"/>
      <c r="L4" s="566" t="s">
        <v>192</v>
      </c>
      <c r="M4" s="573"/>
      <c r="N4" s="567"/>
      <c r="O4" s="18"/>
    </row>
    <row r="5" spans="2:16" ht="15.75" thickBot="1" x14ac:dyDescent="0.3">
      <c r="B5" s="575"/>
      <c r="C5" s="577"/>
      <c r="D5" s="585"/>
      <c r="E5" s="587"/>
      <c r="F5" s="380" t="s">
        <v>35</v>
      </c>
      <c r="G5" s="381" t="s">
        <v>36</v>
      </c>
      <c r="H5" s="382" t="s">
        <v>37</v>
      </c>
      <c r="I5" s="380" t="s">
        <v>35</v>
      </c>
      <c r="J5" s="381" t="s">
        <v>36</v>
      </c>
      <c r="K5" s="382" t="s">
        <v>37</v>
      </c>
      <c r="L5" s="405" t="s">
        <v>35</v>
      </c>
      <c r="M5" s="381" t="s">
        <v>36</v>
      </c>
      <c r="N5" s="382" t="s">
        <v>37</v>
      </c>
      <c r="O5" s="474"/>
      <c r="P5" s="474"/>
    </row>
    <row r="6" spans="2:16" x14ac:dyDescent="0.25">
      <c r="B6" s="389">
        <f t="shared" ref="B6:B11" si="0">B7-1</f>
        <v>2021</v>
      </c>
      <c r="C6" s="384">
        <v>0</v>
      </c>
      <c r="D6" s="390">
        <v>1</v>
      </c>
      <c r="E6" s="421">
        <v>147862.53335960419</v>
      </c>
      <c r="F6" s="410">
        <v>206.50038176582902</v>
      </c>
      <c r="G6" s="406">
        <v>73.262744139528905</v>
      </c>
      <c r="H6" s="411">
        <v>1.0773932961695425</v>
      </c>
      <c r="I6" s="431">
        <v>0</v>
      </c>
      <c r="J6" s="415">
        <v>0</v>
      </c>
      <c r="K6" s="414">
        <v>0</v>
      </c>
      <c r="L6" s="400">
        <v>0</v>
      </c>
      <c r="M6" s="388">
        <v>0</v>
      </c>
      <c r="N6" s="401">
        <v>0</v>
      </c>
      <c r="O6" s="474"/>
      <c r="P6" s="474"/>
    </row>
    <row r="7" spans="2:16" x14ac:dyDescent="0.25">
      <c r="B7" s="389">
        <f t="shared" si="0"/>
        <v>2022</v>
      </c>
      <c r="C7" s="384">
        <v>0</v>
      </c>
      <c r="D7" s="390">
        <v>2</v>
      </c>
      <c r="E7" s="421">
        <v>148601.8460264022</v>
      </c>
      <c r="F7" s="410">
        <v>207.53288367465811</v>
      </c>
      <c r="G7" s="406">
        <v>73.629057860226524</v>
      </c>
      <c r="H7" s="411">
        <v>1.0827802626503902</v>
      </c>
      <c r="I7" s="431">
        <v>0</v>
      </c>
      <c r="J7" s="415">
        <v>0</v>
      </c>
      <c r="K7" s="414">
        <v>0</v>
      </c>
      <c r="L7" s="400">
        <v>0</v>
      </c>
      <c r="M7" s="388">
        <v>0</v>
      </c>
      <c r="N7" s="401">
        <v>0</v>
      </c>
      <c r="O7" s="474"/>
      <c r="P7" s="474"/>
    </row>
    <row r="8" spans="2:16" x14ac:dyDescent="0.25">
      <c r="B8" s="389">
        <f t="shared" si="0"/>
        <v>2023</v>
      </c>
      <c r="C8" s="384">
        <v>0</v>
      </c>
      <c r="D8" s="390">
        <v>3</v>
      </c>
      <c r="E8" s="421">
        <v>149344.85525653418</v>
      </c>
      <c r="F8" s="410">
        <v>208.57054809303142</v>
      </c>
      <c r="G8" s="406">
        <v>73.99720314952765</v>
      </c>
      <c r="H8" s="411">
        <v>1.0881941639636417</v>
      </c>
      <c r="I8" s="431">
        <v>0</v>
      </c>
      <c r="J8" s="415">
        <v>0</v>
      </c>
      <c r="K8" s="414">
        <v>0</v>
      </c>
      <c r="L8" s="400">
        <v>0</v>
      </c>
      <c r="M8" s="388">
        <v>0</v>
      </c>
      <c r="N8" s="401">
        <v>0</v>
      </c>
      <c r="O8" s="474"/>
      <c r="P8" s="474"/>
    </row>
    <row r="9" spans="2:16" x14ac:dyDescent="0.25">
      <c r="B9" s="389">
        <f t="shared" si="0"/>
        <v>2024</v>
      </c>
      <c r="C9" s="384">
        <v>0</v>
      </c>
      <c r="D9" s="390">
        <v>4</v>
      </c>
      <c r="E9" s="421">
        <v>150091.57953281683</v>
      </c>
      <c r="F9" s="410">
        <v>209.61340083349648</v>
      </c>
      <c r="G9" s="406">
        <v>74.367189165275292</v>
      </c>
      <c r="H9" s="411">
        <v>1.0936351347834599</v>
      </c>
      <c r="I9" s="431">
        <v>0</v>
      </c>
      <c r="J9" s="415">
        <v>0</v>
      </c>
      <c r="K9" s="414">
        <v>0</v>
      </c>
      <c r="L9" s="400">
        <v>0</v>
      </c>
      <c r="M9" s="388">
        <v>0</v>
      </c>
      <c r="N9" s="401">
        <v>0</v>
      </c>
      <c r="O9" s="379"/>
      <c r="P9" s="379"/>
    </row>
    <row r="10" spans="2:16" x14ac:dyDescent="0.25">
      <c r="B10" s="389">
        <f t="shared" si="0"/>
        <v>2025</v>
      </c>
      <c r="C10" s="384">
        <v>0</v>
      </c>
      <c r="D10" s="390">
        <v>5</v>
      </c>
      <c r="E10" s="421">
        <v>150842.03743048088</v>
      </c>
      <c r="F10" s="410">
        <v>210.66146783766393</v>
      </c>
      <c r="G10" s="406">
        <v>74.73902511110164</v>
      </c>
      <c r="H10" s="411">
        <v>1.0991033104573771</v>
      </c>
      <c r="I10" s="431">
        <v>0</v>
      </c>
      <c r="J10" s="415">
        <v>0</v>
      </c>
      <c r="K10" s="414">
        <v>0</v>
      </c>
      <c r="L10" s="400">
        <v>0</v>
      </c>
      <c r="M10" s="388">
        <v>0</v>
      </c>
      <c r="N10" s="401">
        <v>0</v>
      </c>
      <c r="O10" s="379"/>
      <c r="P10" s="379"/>
    </row>
    <row r="11" spans="2:16" x14ac:dyDescent="0.25">
      <c r="B11" s="389">
        <f t="shared" si="0"/>
        <v>2026</v>
      </c>
      <c r="C11" s="384">
        <v>0</v>
      </c>
      <c r="D11" s="390">
        <v>6</v>
      </c>
      <c r="E11" s="421">
        <v>151596.24761763326</v>
      </c>
      <c r="F11" s="410">
        <v>211.71477517685221</v>
      </c>
      <c r="G11" s="406">
        <v>75.11272023665714</v>
      </c>
      <c r="H11" s="411">
        <v>1.1045988270096636</v>
      </c>
      <c r="I11" s="431">
        <v>0</v>
      </c>
      <c r="J11" s="415">
        <v>0</v>
      </c>
      <c r="K11" s="414">
        <v>0</v>
      </c>
      <c r="L11" s="400">
        <v>0</v>
      </c>
      <c r="M11" s="388">
        <v>0</v>
      </c>
      <c r="N11" s="401">
        <v>0</v>
      </c>
      <c r="O11" s="379"/>
      <c r="P11" s="379"/>
    </row>
    <row r="12" spans="2:16" x14ac:dyDescent="0.25">
      <c r="B12" s="389">
        <f>B13-1</f>
        <v>2027</v>
      </c>
      <c r="C12" s="384">
        <v>0</v>
      </c>
      <c r="D12" s="390">
        <f t="shared" ref="D12:D42" si="1">D11+1</f>
        <v>7</v>
      </c>
      <c r="E12" s="421">
        <v>152354.22885572142</v>
      </c>
      <c r="F12" s="410">
        <v>212.77334905273645</v>
      </c>
      <c r="G12" s="406">
        <v>75.488283837840413</v>
      </c>
      <c r="H12" s="411">
        <v>1.1101218211447119</v>
      </c>
      <c r="I12" s="431">
        <v>0</v>
      </c>
      <c r="J12" s="415">
        <v>0</v>
      </c>
      <c r="K12" s="414">
        <v>0</v>
      </c>
      <c r="L12" s="400">
        <v>0</v>
      </c>
      <c r="M12" s="388">
        <v>0</v>
      </c>
      <c r="N12" s="401">
        <v>0</v>
      </c>
      <c r="O12" s="379"/>
      <c r="P12" s="379"/>
    </row>
    <row r="13" spans="2:16" x14ac:dyDescent="0.25">
      <c r="B13" s="391">
        <v>2028</v>
      </c>
      <c r="C13" s="385">
        <v>1</v>
      </c>
      <c r="D13" s="392">
        <f t="shared" si="1"/>
        <v>8</v>
      </c>
      <c r="E13" s="422">
        <v>153116</v>
      </c>
      <c r="F13" s="425">
        <v>213.83721579800013</v>
      </c>
      <c r="G13" s="416">
        <v>75.865725257029609</v>
      </c>
      <c r="H13" s="426">
        <v>1.1156724302504353</v>
      </c>
      <c r="I13" s="425">
        <v>115.38656164460086</v>
      </c>
      <c r="J13" s="416">
        <v>40.937145348693178</v>
      </c>
      <c r="K13" s="432">
        <v>0.60201684336313488</v>
      </c>
      <c r="L13" s="412">
        <v>1167712.0038433608</v>
      </c>
      <c r="M13" s="407">
        <v>17067332.695908945</v>
      </c>
      <c r="N13" s="408">
        <v>10647922.745541651</v>
      </c>
      <c r="O13" s="379"/>
      <c r="P13" s="379"/>
    </row>
    <row r="14" spans="2:16" x14ac:dyDescent="0.25">
      <c r="B14" s="393">
        <f>B13+1</f>
        <v>2029</v>
      </c>
      <c r="C14" s="386">
        <f>C13+1</f>
        <v>2</v>
      </c>
      <c r="D14" s="394">
        <f t="shared" si="1"/>
        <v>9</v>
      </c>
      <c r="E14" s="475">
        <v>153881.57999999999</v>
      </c>
      <c r="F14" s="427">
        <v>214.90640187699012</v>
      </c>
      <c r="G14" s="417">
        <v>76.245053883314739</v>
      </c>
      <c r="H14" s="428">
        <v>1.1212507924016872</v>
      </c>
      <c r="I14" s="427">
        <v>115.96349445282387</v>
      </c>
      <c r="J14" s="417">
        <v>41.141831075436635</v>
      </c>
      <c r="K14" s="476">
        <v>0.60502692757995036</v>
      </c>
      <c r="L14" s="404">
        <v>1173550.5638625775</v>
      </c>
      <c r="M14" s="383">
        <v>17152669.359388486</v>
      </c>
      <c r="N14" s="402">
        <v>10701162.359269356</v>
      </c>
      <c r="O14" s="379"/>
      <c r="P14" s="379"/>
    </row>
    <row r="15" spans="2:16" x14ac:dyDescent="0.25">
      <c r="B15" s="395">
        <f t="shared" ref="B15:C30" si="2">B14+1</f>
        <v>2030</v>
      </c>
      <c r="C15" s="387">
        <f t="shared" si="2"/>
        <v>3</v>
      </c>
      <c r="D15" s="396">
        <f t="shared" si="1"/>
        <v>10</v>
      </c>
      <c r="E15" s="475">
        <v>154650.98789999995</v>
      </c>
      <c r="F15" s="427">
        <v>215.980933886375</v>
      </c>
      <c r="G15" s="417">
        <v>76.6262791527313</v>
      </c>
      <c r="H15" s="428">
        <v>1.1268570463636955</v>
      </c>
      <c r="I15" s="427">
        <v>116.54331192508795</v>
      </c>
      <c r="J15" s="417">
        <v>41.347540230813806</v>
      </c>
      <c r="K15" s="476">
        <v>0.60805206221785013</v>
      </c>
      <c r="L15" s="404">
        <v>1179418.3166818903</v>
      </c>
      <c r="M15" s="383">
        <v>17238432.706185423</v>
      </c>
      <c r="N15" s="402">
        <v>10754668.171065701</v>
      </c>
      <c r="O15" s="379"/>
      <c r="P15" s="379"/>
    </row>
    <row r="16" spans="2:16" x14ac:dyDescent="0.25">
      <c r="B16" s="393">
        <f t="shared" si="2"/>
        <v>2031</v>
      </c>
      <c r="C16" s="387">
        <f t="shared" si="2"/>
        <v>4</v>
      </c>
      <c r="D16" s="396">
        <f t="shared" si="1"/>
        <v>11</v>
      </c>
      <c r="E16" s="475">
        <v>155424.24283949993</v>
      </c>
      <c r="F16" s="427">
        <v>217.06083855580684</v>
      </c>
      <c r="G16" s="417">
        <v>77.009410548494955</v>
      </c>
      <c r="H16" s="428">
        <v>1.1324913315955141</v>
      </c>
      <c r="I16" s="427">
        <v>117.12602848471336</v>
      </c>
      <c r="J16" s="417">
        <v>41.554277931967874</v>
      </c>
      <c r="K16" s="476">
        <v>0.61109232252893941</v>
      </c>
      <c r="L16" s="404">
        <v>1185315.4082652992</v>
      </c>
      <c r="M16" s="383">
        <v>17324624.869716346</v>
      </c>
      <c r="N16" s="402">
        <v>10808441.511921031</v>
      </c>
      <c r="O16" s="379"/>
      <c r="P16" s="379"/>
    </row>
    <row r="17" spans="2:16" x14ac:dyDescent="0.25">
      <c r="B17" s="395">
        <f t="shared" si="2"/>
        <v>2032</v>
      </c>
      <c r="C17" s="387">
        <f t="shared" si="2"/>
        <v>5</v>
      </c>
      <c r="D17" s="396">
        <f t="shared" si="1"/>
        <v>12</v>
      </c>
      <c r="E17" s="475">
        <v>156201.36405369741</v>
      </c>
      <c r="F17" s="427">
        <v>218.14614274858585</v>
      </c>
      <c r="G17" s="417">
        <v>77.39445760123742</v>
      </c>
      <c r="H17" s="428">
        <v>1.1381537882534913</v>
      </c>
      <c r="I17" s="427">
        <v>117.71165862713691</v>
      </c>
      <c r="J17" s="417">
        <v>41.762049321627714</v>
      </c>
      <c r="K17" s="476">
        <v>0.61414778414158389</v>
      </c>
      <c r="L17" s="404">
        <v>1191241.9853066257</v>
      </c>
      <c r="M17" s="383">
        <v>17411247.994064931</v>
      </c>
      <c r="N17" s="402">
        <v>10862483.719480632</v>
      </c>
      <c r="O17" s="379"/>
      <c r="P17" s="379"/>
    </row>
    <row r="18" spans="2:16" x14ac:dyDescent="0.25">
      <c r="B18" s="393">
        <f t="shared" si="2"/>
        <v>2033</v>
      </c>
      <c r="C18" s="387">
        <f t="shared" si="2"/>
        <v>6</v>
      </c>
      <c r="D18" s="396">
        <f t="shared" si="1"/>
        <v>13</v>
      </c>
      <c r="E18" s="475">
        <v>156982.37087396585</v>
      </c>
      <c r="F18" s="427">
        <v>219.23687346232873</v>
      </c>
      <c r="G18" s="417">
        <v>77.781429889243569</v>
      </c>
      <c r="H18" s="428">
        <v>1.1438445571947582</v>
      </c>
      <c r="I18" s="427">
        <v>118.30021692027258</v>
      </c>
      <c r="J18" s="417">
        <v>41.970859568235831</v>
      </c>
      <c r="K18" s="476">
        <v>0.61721852306229152</v>
      </c>
      <c r="L18" s="404">
        <v>1197198.1952331585</v>
      </c>
      <c r="M18" s="383">
        <v>17498304.234035246</v>
      </c>
      <c r="N18" s="402">
        <v>10916796.13807803</v>
      </c>
      <c r="O18" s="379"/>
      <c r="P18" s="379"/>
    </row>
    <row r="19" spans="2:16" x14ac:dyDescent="0.25">
      <c r="B19" s="395">
        <f t="shared" si="2"/>
        <v>2034</v>
      </c>
      <c r="C19" s="387">
        <f t="shared" si="2"/>
        <v>7</v>
      </c>
      <c r="D19" s="396">
        <f t="shared" si="1"/>
        <v>14</v>
      </c>
      <c r="E19" s="475">
        <v>157767.28272833567</v>
      </c>
      <c r="F19" s="427">
        <v>220.33305782964035</v>
      </c>
      <c r="G19" s="417">
        <v>78.170337038689794</v>
      </c>
      <c r="H19" s="428">
        <v>1.1495637799807321</v>
      </c>
      <c r="I19" s="427">
        <v>118.89171800487394</v>
      </c>
      <c r="J19" s="417">
        <v>42.180713866077014</v>
      </c>
      <c r="K19" s="476">
        <v>0.62030461567760298</v>
      </c>
      <c r="L19" s="404">
        <v>1203184.1862093243</v>
      </c>
      <c r="M19" s="383">
        <v>17585795.755205423</v>
      </c>
      <c r="N19" s="402">
        <v>10971380.118768422</v>
      </c>
      <c r="O19" s="379"/>
      <c r="P19" s="379"/>
    </row>
    <row r="20" spans="2:16" x14ac:dyDescent="0.25">
      <c r="B20" s="393">
        <f t="shared" si="2"/>
        <v>2035</v>
      </c>
      <c r="C20" s="387">
        <f t="shared" si="2"/>
        <v>8</v>
      </c>
      <c r="D20" s="396">
        <f t="shared" si="1"/>
        <v>15</v>
      </c>
      <c r="E20" s="475">
        <v>158556.11914197731</v>
      </c>
      <c r="F20" s="427">
        <v>221.4347231187885</v>
      </c>
      <c r="G20" s="417">
        <v>78.56118872388322</v>
      </c>
      <c r="H20" s="428">
        <v>1.1553115988806353</v>
      </c>
      <c r="I20" s="427">
        <v>119.48617659489828</v>
      </c>
      <c r="J20" s="417">
        <v>42.391617435407383</v>
      </c>
      <c r="K20" s="476">
        <v>0.62340613875599082</v>
      </c>
      <c r="L20" s="404">
        <v>1209200.1071403709</v>
      </c>
      <c r="M20" s="383">
        <v>17673724.733981445</v>
      </c>
      <c r="N20" s="402">
        <v>11026237.01936226</v>
      </c>
      <c r="O20" s="379"/>
      <c r="P20" s="379"/>
    </row>
    <row r="21" spans="2:16" x14ac:dyDescent="0.25">
      <c r="B21" s="395">
        <f t="shared" si="2"/>
        <v>2036</v>
      </c>
      <c r="C21" s="387">
        <f t="shared" si="2"/>
        <v>9</v>
      </c>
      <c r="D21" s="396">
        <f t="shared" si="1"/>
        <v>16</v>
      </c>
      <c r="E21" s="475">
        <v>159348.8997376872</v>
      </c>
      <c r="F21" s="427">
        <v>222.54189673438245</v>
      </c>
      <c r="G21" s="417">
        <v>78.953994667502641</v>
      </c>
      <c r="H21" s="428">
        <v>1.1610881568750389</v>
      </c>
      <c r="I21" s="427">
        <v>120.08360747787276</v>
      </c>
      <c r="J21" s="417">
        <v>42.603575522584421</v>
      </c>
      <c r="K21" s="476">
        <v>0.62652316944977093</v>
      </c>
      <c r="L21" s="404">
        <v>1215246.1076760725</v>
      </c>
      <c r="M21" s="383">
        <v>17762093.357651349</v>
      </c>
      <c r="N21" s="402">
        <v>11081368.204459075</v>
      </c>
      <c r="O21" s="379"/>
      <c r="P21" s="379"/>
    </row>
    <row r="22" spans="2:16" x14ac:dyDescent="0.25">
      <c r="B22" s="393">
        <f t="shared" si="2"/>
        <v>2037</v>
      </c>
      <c r="C22" s="387">
        <f t="shared" si="2"/>
        <v>10</v>
      </c>
      <c r="D22" s="396">
        <f t="shared" si="1"/>
        <v>17</v>
      </c>
      <c r="E22" s="475">
        <v>160145.64423637564</v>
      </c>
      <c r="F22" s="427">
        <v>223.65460621805434</v>
      </c>
      <c r="G22" s="417">
        <v>79.348764640840145</v>
      </c>
      <c r="H22" s="428">
        <v>1.1668935976594139</v>
      </c>
      <c r="I22" s="427">
        <v>120.68402551526212</v>
      </c>
      <c r="J22" s="417">
        <v>42.816593400197341</v>
      </c>
      <c r="K22" s="476">
        <v>0.62965578529701971</v>
      </c>
      <c r="L22" s="404">
        <v>1221322.3382144526</v>
      </c>
      <c r="M22" s="383">
        <v>17850903.824439608</v>
      </c>
      <c r="N22" s="402">
        <v>11136775.045481367</v>
      </c>
      <c r="O22" s="379"/>
      <c r="P22" s="379"/>
    </row>
    <row r="23" spans="2:16" x14ac:dyDescent="0.25">
      <c r="B23" s="395">
        <f t="shared" si="2"/>
        <v>2038</v>
      </c>
      <c r="C23" s="387">
        <f t="shared" si="2"/>
        <v>11</v>
      </c>
      <c r="D23" s="396">
        <f t="shared" si="1"/>
        <v>18</v>
      </c>
      <c r="E23" s="475">
        <v>160946.37245755747</v>
      </c>
      <c r="F23" s="427">
        <v>224.77287924914458</v>
      </c>
      <c r="G23" s="417">
        <v>79.745508464044335</v>
      </c>
      <c r="H23" s="428">
        <v>1.1727280656477106</v>
      </c>
      <c r="I23" s="427">
        <v>121.28744564283841</v>
      </c>
      <c r="J23" s="417">
        <v>43.030676367198318</v>
      </c>
      <c r="K23" s="476">
        <v>0.63280406422350466</v>
      </c>
      <c r="L23" s="404">
        <v>1227428.949905525</v>
      </c>
      <c r="M23" s="383">
        <v>17940158.343561802</v>
      </c>
      <c r="N23" s="402">
        <v>11192458.920708772</v>
      </c>
      <c r="O23" s="379"/>
      <c r="P23" s="379"/>
    </row>
    <row r="24" spans="2:16" x14ac:dyDescent="0.25">
      <c r="B24" s="393">
        <f t="shared" si="2"/>
        <v>2039</v>
      </c>
      <c r="C24" s="387">
        <f t="shared" si="2"/>
        <v>12</v>
      </c>
      <c r="D24" s="396">
        <f t="shared" si="1"/>
        <v>19</v>
      </c>
      <c r="E24" s="475">
        <v>161751.10431984524</v>
      </c>
      <c r="F24" s="427">
        <v>225.89674364539027</v>
      </c>
      <c r="G24" s="417">
        <v>80.144236006364537</v>
      </c>
      <c r="H24" s="428">
        <v>1.178591705975949</v>
      </c>
      <c r="I24" s="427">
        <v>121.89388287105258</v>
      </c>
      <c r="J24" s="417">
        <v>43.2458297490343</v>
      </c>
      <c r="K24" s="476">
        <v>0.63596808454462206</v>
      </c>
      <c r="L24" s="404">
        <v>1233566.0946550523</v>
      </c>
      <c r="M24" s="383">
        <v>18029859.135279607</v>
      </c>
      <c r="N24" s="402">
        <v>11248421.215312313</v>
      </c>
      <c r="O24" s="379"/>
      <c r="P24" s="379"/>
    </row>
    <row r="25" spans="2:16" x14ac:dyDescent="0.25">
      <c r="B25" s="395">
        <f t="shared" si="2"/>
        <v>2040</v>
      </c>
      <c r="C25" s="387">
        <f t="shared" si="2"/>
        <v>13</v>
      </c>
      <c r="D25" s="396">
        <f t="shared" si="1"/>
        <v>20</v>
      </c>
      <c r="E25" s="475">
        <v>162559.85984144441</v>
      </c>
      <c r="F25" s="427">
        <v>227.02622736361712</v>
      </c>
      <c r="G25" s="417">
        <v>80.544957186396346</v>
      </c>
      <c r="H25" s="428">
        <v>1.1844846645058285</v>
      </c>
      <c r="I25" s="427">
        <v>122.5033522854078</v>
      </c>
      <c r="J25" s="417">
        <v>43.462058897779464</v>
      </c>
      <c r="K25" s="476">
        <v>0.63914792496734496</v>
      </c>
      <c r="L25" s="404">
        <v>1239733.925128327</v>
      </c>
      <c r="M25" s="383">
        <v>18120008.430956002</v>
      </c>
      <c r="N25" s="402">
        <v>11304663.321388872</v>
      </c>
      <c r="O25" s="379"/>
      <c r="P25" s="379"/>
    </row>
    <row r="26" spans="2:16" x14ac:dyDescent="0.25">
      <c r="B26" s="393">
        <f t="shared" si="2"/>
        <v>2041</v>
      </c>
      <c r="C26" s="387">
        <f t="shared" si="2"/>
        <v>14</v>
      </c>
      <c r="D26" s="396">
        <f t="shared" si="1"/>
        <v>21</v>
      </c>
      <c r="E26" s="475">
        <v>163372.65914065164</v>
      </c>
      <c r="F26" s="427">
        <v>228.16135850043523</v>
      </c>
      <c r="G26" s="417">
        <v>80.947681972328326</v>
      </c>
      <c r="H26" s="428">
        <v>1.1904070878283577</v>
      </c>
      <c r="I26" s="427">
        <v>123.11586904683485</v>
      </c>
      <c r="J26" s="417">
        <v>43.679369192268361</v>
      </c>
      <c r="K26" s="476">
        <v>0.64234366459218184</v>
      </c>
      <c r="L26" s="404">
        <v>1245932.5947539688</v>
      </c>
      <c r="M26" s="383">
        <v>18210608.47311078</v>
      </c>
      <c r="N26" s="402">
        <v>11361186.637995819</v>
      </c>
      <c r="O26" s="379"/>
      <c r="P26" s="379"/>
    </row>
    <row r="27" spans="2:16" x14ac:dyDescent="0.25">
      <c r="B27" s="395">
        <f t="shared" si="2"/>
        <v>2042</v>
      </c>
      <c r="C27" s="387">
        <f t="shared" si="2"/>
        <v>15</v>
      </c>
      <c r="D27" s="396">
        <f t="shared" si="1"/>
        <v>22</v>
      </c>
      <c r="E27" s="475">
        <v>164189.52243635486</v>
      </c>
      <c r="F27" s="427">
        <v>229.30216529293736</v>
      </c>
      <c r="G27" s="417">
        <v>81.352420382189962</v>
      </c>
      <c r="H27" s="428">
        <v>1.1963591232674993</v>
      </c>
      <c r="I27" s="427">
        <v>123.731448392069</v>
      </c>
      <c r="J27" s="417">
        <v>43.897766038229705</v>
      </c>
      <c r="K27" s="476">
        <v>0.64555538291514258</v>
      </c>
      <c r="L27" s="404">
        <v>1252162.2577277385</v>
      </c>
      <c r="M27" s="383">
        <v>18301661.515476339</v>
      </c>
      <c r="N27" s="402">
        <v>11417992.571185796</v>
      </c>
      <c r="O27" s="379"/>
      <c r="P27" s="379"/>
    </row>
    <row r="28" spans="2:16" x14ac:dyDescent="0.25">
      <c r="B28" s="393">
        <f t="shared" si="2"/>
        <v>2043</v>
      </c>
      <c r="C28" s="387">
        <f t="shared" si="2"/>
        <v>16</v>
      </c>
      <c r="D28" s="396">
        <f t="shared" si="1"/>
        <v>23</v>
      </c>
      <c r="E28" s="475">
        <v>165010.47004853658</v>
      </c>
      <c r="F28" s="427">
        <v>230.44867611940197</v>
      </c>
      <c r="G28" s="417">
        <v>81.759182484100876</v>
      </c>
      <c r="H28" s="428">
        <v>1.2023409188838361</v>
      </c>
      <c r="I28" s="427">
        <v>124.35010563402929</v>
      </c>
      <c r="J28" s="417">
        <v>44.117254868420829</v>
      </c>
      <c r="K28" s="476">
        <v>0.6487831598297179</v>
      </c>
      <c r="L28" s="404">
        <v>1258423.0690163767</v>
      </c>
      <c r="M28" s="383">
        <v>18393169.82305371</v>
      </c>
      <c r="N28" s="402">
        <v>11475082.534041718</v>
      </c>
      <c r="O28" s="379"/>
      <c r="P28" s="379"/>
    </row>
    <row r="29" spans="2:16" x14ac:dyDescent="0.25">
      <c r="B29" s="395">
        <f t="shared" si="2"/>
        <v>2044</v>
      </c>
      <c r="C29" s="387">
        <f t="shared" si="2"/>
        <v>17</v>
      </c>
      <c r="D29" s="396">
        <f t="shared" si="1"/>
        <v>24</v>
      </c>
      <c r="E29" s="475">
        <v>165835.52239877926</v>
      </c>
      <c r="F29" s="427">
        <v>231.60091949999898</v>
      </c>
      <c r="G29" s="417">
        <v>82.167978396521377</v>
      </c>
      <c r="H29" s="428">
        <v>1.2083526234782556</v>
      </c>
      <c r="I29" s="427">
        <v>124.97185616219944</v>
      </c>
      <c r="J29" s="417">
        <v>44.337841142762933</v>
      </c>
      <c r="K29" s="476">
        <v>0.65202707562886664</v>
      </c>
      <c r="L29" s="404">
        <v>1264715.1843614585</v>
      </c>
      <c r="M29" s="383">
        <v>18485135.672168978</v>
      </c>
      <c r="N29" s="402">
        <v>11532457.94671193</v>
      </c>
      <c r="O29" s="379"/>
      <c r="P29" s="379"/>
    </row>
    <row r="30" spans="2:16" x14ac:dyDescent="0.25">
      <c r="B30" s="393">
        <f t="shared" si="2"/>
        <v>2045</v>
      </c>
      <c r="C30" s="387">
        <f t="shared" si="2"/>
        <v>18</v>
      </c>
      <c r="D30" s="396">
        <f t="shared" si="1"/>
        <v>25</v>
      </c>
      <c r="E30" s="475">
        <v>166664.70001077314</v>
      </c>
      <c r="F30" s="427">
        <v>232.75892409749898</v>
      </c>
      <c r="G30" s="417">
        <v>82.578818288503982</v>
      </c>
      <c r="H30" s="428">
        <v>1.2143943865956466</v>
      </c>
      <c r="I30" s="427">
        <v>125.59671544301044</v>
      </c>
      <c r="J30" s="417">
        <v>44.559530348476748</v>
      </c>
      <c r="K30" s="476">
        <v>0.65528721100701082</v>
      </c>
      <c r="L30" s="404">
        <v>1271038.7602832657</v>
      </c>
      <c r="M30" s="383">
        <v>18577561.350529823</v>
      </c>
      <c r="N30" s="402">
        <v>11590120.236445485</v>
      </c>
      <c r="O30" s="379"/>
      <c r="P30" s="379"/>
    </row>
    <row r="31" spans="2:16" x14ac:dyDescent="0.25">
      <c r="B31" s="395">
        <f t="shared" ref="B31:C42" si="3">B30+1</f>
        <v>2046</v>
      </c>
      <c r="C31" s="387">
        <f t="shared" si="3"/>
        <v>19</v>
      </c>
      <c r="D31" s="396">
        <f t="shared" si="1"/>
        <v>26</v>
      </c>
      <c r="E31" s="475">
        <v>167498.02351082696</v>
      </c>
      <c r="F31" s="427">
        <v>233.92271871798641</v>
      </c>
      <c r="G31" s="417">
        <v>82.991712379946463</v>
      </c>
      <c r="H31" s="428">
        <v>1.2204663585286244</v>
      </c>
      <c r="I31" s="427">
        <v>126.22469902022546</v>
      </c>
      <c r="J31" s="417">
        <v>44.78232800021911</v>
      </c>
      <c r="K31" s="476">
        <v>0.65856364706204573</v>
      </c>
      <c r="L31" s="404">
        <v>1277393.9540846818</v>
      </c>
      <c r="M31" s="383">
        <v>18670449.15728246</v>
      </c>
      <c r="N31" s="402">
        <v>11648070.837627711</v>
      </c>
      <c r="O31" s="379"/>
      <c r="P31" s="379"/>
    </row>
    <row r="32" spans="2:16" x14ac:dyDescent="0.25">
      <c r="B32" s="393">
        <f t="shared" si="3"/>
        <v>2047</v>
      </c>
      <c r="C32" s="387">
        <f t="shared" si="3"/>
        <v>20</v>
      </c>
      <c r="D32" s="396">
        <f t="shared" si="1"/>
        <v>27</v>
      </c>
      <c r="E32" s="475">
        <v>168335.51362838107</v>
      </c>
      <c r="F32" s="427">
        <v>235.09233231157629</v>
      </c>
      <c r="G32" s="417">
        <v>83.406670941846187</v>
      </c>
      <c r="H32" s="428">
        <v>1.2265686903212676</v>
      </c>
      <c r="I32" s="427">
        <v>126.85582251532657</v>
      </c>
      <c r="J32" s="417">
        <v>45.006239640220201</v>
      </c>
      <c r="K32" s="476">
        <v>0.66185646529735598</v>
      </c>
      <c r="L32" s="404">
        <v>1283780.9238551049</v>
      </c>
      <c r="M32" s="383">
        <v>18763801.40306887</v>
      </c>
      <c r="N32" s="402">
        <v>11706311.191815849</v>
      </c>
      <c r="O32" s="379"/>
      <c r="P32" s="379"/>
    </row>
    <row r="33" spans="2:16" x14ac:dyDescent="0.25">
      <c r="B33" s="391">
        <f t="shared" si="3"/>
        <v>2048</v>
      </c>
      <c r="C33" s="385">
        <f t="shared" si="3"/>
        <v>21</v>
      </c>
      <c r="D33" s="392">
        <f t="shared" si="1"/>
        <v>28</v>
      </c>
      <c r="E33" s="422">
        <v>169177.19119652297</v>
      </c>
      <c r="F33" s="425">
        <v>236.26779397313416</v>
      </c>
      <c r="G33" s="416">
        <v>83.82370429655542</v>
      </c>
      <c r="H33" s="426">
        <v>1.2327015337728737</v>
      </c>
      <c r="I33" s="425">
        <v>127.49010162790319</v>
      </c>
      <c r="J33" s="416">
        <v>45.231270838421302</v>
      </c>
      <c r="K33" s="432">
        <v>0.66516574762384262</v>
      </c>
      <c r="L33" s="412">
        <v>1290199.8284743803</v>
      </c>
      <c r="M33" s="407">
        <v>18857620.410084218</v>
      </c>
      <c r="N33" s="408">
        <v>11764842.747774925</v>
      </c>
      <c r="O33" s="379"/>
      <c r="P33" s="379"/>
    </row>
    <row r="34" spans="2:16" x14ac:dyDescent="0.25">
      <c r="B34" s="393">
        <f t="shared" si="3"/>
        <v>2049</v>
      </c>
      <c r="C34" s="387">
        <f t="shared" si="3"/>
        <v>22</v>
      </c>
      <c r="D34" s="396">
        <f t="shared" si="1"/>
        <v>29</v>
      </c>
      <c r="E34" s="475">
        <v>170023.07715250555</v>
      </c>
      <c r="F34" s="427">
        <v>237.44913294299977</v>
      </c>
      <c r="G34" s="417">
        <v>84.242822818038164</v>
      </c>
      <c r="H34" s="428">
        <v>1.2388650414417377</v>
      </c>
      <c r="I34" s="427">
        <v>128.12755213604265</v>
      </c>
      <c r="J34" s="417">
        <v>45.457427192613395</v>
      </c>
      <c r="K34" s="476">
        <v>0.66849157636196166</v>
      </c>
      <c r="L34" s="404">
        <v>1296650.8276167519</v>
      </c>
      <c r="M34" s="383">
        <v>18951908.51213463</v>
      </c>
      <c r="N34" s="402">
        <v>11823666.961513799</v>
      </c>
      <c r="O34" s="379"/>
      <c r="P34" s="379"/>
    </row>
    <row r="35" spans="2:16" x14ac:dyDescent="0.25">
      <c r="B35" s="395">
        <f t="shared" si="3"/>
        <v>2050</v>
      </c>
      <c r="C35" s="387">
        <f t="shared" si="3"/>
        <v>23</v>
      </c>
      <c r="D35" s="396">
        <f t="shared" si="1"/>
        <v>30</v>
      </c>
      <c r="E35" s="475">
        <v>170873.19253826805</v>
      </c>
      <c r="F35" s="427">
        <v>238.63637860771473</v>
      </c>
      <c r="G35" s="417">
        <v>84.664036932128354</v>
      </c>
      <c r="H35" s="428">
        <v>1.2450593666489462</v>
      </c>
      <c r="I35" s="427">
        <v>128.76818989672284</v>
      </c>
      <c r="J35" s="417">
        <v>45.684714328576462</v>
      </c>
      <c r="K35" s="476">
        <v>0.67183403424377142</v>
      </c>
      <c r="L35" s="404">
        <v>1303134.0817548353</v>
      </c>
      <c r="M35" s="383">
        <v>19046668.054695304</v>
      </c>
      <c r="N35" s="402">
        <v>11882785.296321366</v>
      </c>
      <c r="O35" s="379"/>
      <c r="P35" s="379"/>
    </row>
    <row r="36" spans="2:16" x14ac:dyDescent="0.25">
      <c r="B36" s="393">
        <f t="shared" si="3"/>
        <v>2051</v>
      </c>
      <c r="C36" s="387">
        <f t="shared" si="3"/>
        <v>24</v>
      </c>
      <c r="D36" s="396">
        <f t="shared" si="1"/>
        <v>31</v>
      </c>
      <c r="E36" s="475">
        <v>171727.55850095933</v>
      </c>
      <c r="F36" s="427">
        <v>239.82956050075325</v>
      </c>
      <c r="G36" s="417">
        <v>85.087357116788965</v>
      </c>
      <c r="H36" s="428">
        <v>1.2512846634821906</v>
      </c>
      <c r="I36" s="427">
        <v>129.41203084620645</v>
      </c>
      <c r="J36" s="417">
        <v>45.913137900219326</v>
      </c>
      <c r="K36" s="476">
        <v>0.67519320441498998</v>
      </c>
      <c r="L36" s="404">
        <v>1309649.7521636093</v>
      </c>
      <c r="M36" s="383">
        <v>19141901.394968774</v>
      </c>
      <c r="N36" s="402">
        <v>11942199.222802969</v>
      </c>
      <c r="O36" s="379"/>
      <c r="P36" s="379"/>
    </row>
    <row r="37" spans="2:16" x14ac:dyDescent="0.25">
      <c r="B37" s="395">
        <f t="shared" si="3"/>
        <v>2052</v>
      </c>
      <c r="C37" s="387">
        <f t="shared" si="3"/>
        <v>25</v>
      </c>
      <c r="D37" s="396">
        <f t="shared" si="1"/>
        <v>32</v>
      </c>
      <c r="E37" s="475">
        <v>172586.19629346416</v>
      </c>
      <c r="F37" s="427">
        <v>241.02870830325702</v>
      </c>
      <c r="G37" s="417">
        <v>85.51279390237292</v>
      </c>
      <c r="H37" s="428">
        <v>1.2575410867996017</v>
      </c>
      <c r="I37" s="427">
        <v>130.05909100043749</v>
      </c>
      <c r="J37" s="417">
        <v>46.142703589720426</v>
      </c>
      <c r="K37" s="476">
        <v>0.67856917043706511</v>
      </c>
      <c r="L37" s="404">
        <v>1316198.0009244275</v>
      </c>
      <c r="M37" s="383">
        <v>19237610.90194362</v>
      </c>
      <c r="N37" s="402">
        <v>12001910.218916986</v>
      </c>
      <c r="O37" s="379"/>
      <c r="P37" s="379"/>
    </row>
    <row r="38" spans="2:16" x14ac:dyDescent="0.25">
      <c r="B38" s="393">
        <f t="shared" si="3"/>
        <v>2053</v>
      </c>
      <c r="C38" s="387">
        <f t="shared" si="3"/>
        <v>26</v>
      </c>
      <c r="D38" s="396">
        <f t="shared" si="1"/>
        <v>33</v>
      </c>
      <c r="E38" s="475">
        <v>173449.12727493144</v>
      </c>
      <c r="F38" s="427">
        <v>242.23385184477326</v>
      </c>
      <c r="G38" s="417">
        <v>85.940357871884771</v>
      </c>
      <c r="H38" s="428">
        <v>1.2638287922335996</v>
      </c>
      <c r="I38" s="427">
        <v>130.70938645543964</v>
      </c>
      <c r="J38" s="417">
        <v>46.37341710766902</v>
      </c>
      <c r="K38" s="476">
        <v>0.68196201628925035</v>
      </c>
      <c r="L38" s="404">
        <v>1322778.9909290492</v>
      </c>
      <c r="M38" s="383">
        <v>19333798.956453331</v>
      </c>
      <c r="N38" s="402">
        <v>12061919.770011568</v>
      </c>
      <c r="O38" s="379"/>
      <c r="P38" s="379"/>
    </row>
    <row r="39" spans="2:16" x14ac:dyDescent="0.25">
      <c r="B39" s="395">
        <f t="shared" si="3"/>
        <v>2054</v>
      </c>
      <c r="C39" s="387">
        <f t="shared" si="3"/>
        <v>27</v>
      </c>
      <c r="D39" s="396">
        <f t="shared" si="1"/>
        <v>34</v>
      </c>
      <c r="E39" s="475">
        <v>174316.37291130607</v>
      </c>
      <c r="F39" s="427">
        <v>243.44502110399708</v>
      </c>
      <c r="G39" s="417">
        <v>86.370059661244184</v>
      </c>
      <c r="H39" s="428">
        <v>1.2701479361947672</v>
      </c>
      <c r="I39" s="427">
        <v>131.36293338771682</v>
      </c>
      <c r="J39" s="417">
        <v>46.60528419320736</v>
      </c>
      <c r="K39" s="476">
        <v>0.68537182637069638</v>
      </c>
      <c r="L39" s="404">
        <v>1329392.8858836943</v>
      </c>
      <c r="M39" s="383">
        <v>19430467.9512356</v>
      </c>
      <c r="N39" s="402">
        <v>12122229.368861623</v>
      </c>
      <c r="O39" s="379"/>
      <c r="P39" s="379"/>
    </row>
    <row r="40" spans="2:16" x14ac:dyDescent="0.25">
      <c r="B40" s="393">
        <f t="shared" si="3"/>
        <v>2055</v>
      </c>
      <c r="C40" s="387">
        <f t="shared" si="3"/>
        <v>28</v>
      </c>
      <c r="D40" s="396">
        <f t="shared" si="1"/>
        <v>35</v>
      </c>
      <c r="E40" s="475">
        <v>175187.95477586257</v>
      </c>
      <c r="F40" s="427">
        <v>244.66224620951706</v>
      </c>
      <c r="G40" s="417">
        <v>86.801909959550386</v>
      </c>
      <c r="H40" s="428">
        <v>1.2764986758757411</v>
      </c>
      <c r="I40" s="427">
        <v>132.01974805465539</v>
      </c>
      <c r="J40" s="417">
        <v>46.838310614173388</v>
      </c>
      <c r="K40" s="476">
        <v>0.68879868550254986</v>
      </c>
      <c r="L40" s="404">
        <v>1336039.8503131128</v>
      </c>
      <c r="M40" s="383">
        <v>19527620.290991772</v>
      </c>
      <c r="N40" s="402">
        <v>12182840.51570593</v>
      </c>
      <c r="O40" s="379"/>
      <c r="P40" s="379"/>
    </row>
    <row r="41" spans="2:16" x14ac:dyDescent="0.25">
      <c r="B41" s="395">
        <f t="shared" si="3"/>
        <v>2056</v>
      </c>
      <c r="C41" s="387">
        <f t="shared" si="3"/>
        <v>29</v>
      </c>
      <c r="D41" s="396">
        <f t="shared" si="1"/>
        <v>36</v>
      </c>
      <c r="E41" s="475">
        <v>176063.89454974185</v>
      </c>
      <c r="F41" s="427">
        <v>245.88555744056461</v>
      </c>
      <c r="G41" s="417">
        <v>87.235919509348122</v>
      </c>
      <c r="H41" s="428">
        <v>1.2828811692551194</v>
      </c>
      <c r="I41" s="427">
        <v>132.67984679492866</v>
      </c>
      <c r="J41" s="417">
        <v>47.072502167244245</v>
      </c>
      <c r="K41" s="476">
        <v>0.69224267893006242</v>
      </c>
      <c r="L41" s="404">
        <v>1342720.0495646782</v>
      </c>
      <c r="M41" s="383">
        <v>19625258.392446727</v>
      </c>
      <c r="N41" s="402">
        <v>12243754.718284458</v>
      </c>
      <c r="O41" s="379"/>
      <c r="P41" s="379"/>
    </row>
    <row r="42" spans="2:16" ht="15.75" thickBot="1" x14ac:dyDescent="0.3">
      <c r="B42" s="393">
        <f t="shared" si="3"/>
        <v>2057</v>
      </c>
      <c r="C42" s="387">
        <f t="shared" si="3"/>
        <v>30</v>
      </c>
      <c r="D42" s="396">
        <f t="shared" si="1"/>
        <v>37</v>
      </c>
      <c r="E42" s="475">
        <v>176944.21402249055</v>
      </c>
      <c r="F42" s="427">
        <v>247.11498522776742</v>
      </c>
      <c r="G42" s="417">
        <v>87.672099106894848</v>
      </c>
      <c r="H42" s="428">
        <v>1.2892955751013948</v>
      </c>
      <c r="I42" s="427">
        <v>133.34324602890331</v>
      </c>
      <c r="J42" s="417">
        <v>47.307864678080456</v>
      </c>
      <c r="K42" s="476">
        <v>0.69570389232471264</v>
      </c>
      <c r="L42" s="404">
        <v>1349433.6498125016</v>
      </c>
      <c r="M42" s="383">
        <v>19723384.684408959</v>
      </c>
      <c r="N42" s="402">
        <v>12304973.491875876</v>
      </c>
      <c r="O42" s="379"/>
      <c r="P42" s="379"/>
    </row>
    <row r="43" spans="2:16" ht="15.75" thickBot="1" x14ac:dyDescent="0.3">
      <c r="F43" s="306">
        <v>7747.4318640821675</v>
      </c>
      <c r="G43" s="306">
        <v>2748.6540874308912</v>
      </c>
      <c r="H43" s="306">
        <v>40.421383638689562</v>
      </c>
      <c r="I43" s="306">
        <v>3724.6801228894928</v>
      </c>
      <c r="J43" s="306">
        <v>1321.4517305555767</v>
      </c>
      <c r="K43" s="306">
        <v>19.433113684640833</v>
      </c>
      <c r="L43" s="479">
        <v>37693762.843641669</v>
      </c>
      <c r="M43" s="479">
        <v>550933782.3844285</v>
      </c>
      <c r="N43" s="479">
        <v>343715122.75873137</v>
      </c>
      <c r="O43" s="25"/>
      <c r="P43" s="25"/>
    </row>
    <row r="44" spans="2:16" x14ac:dyDescent="0.25">
      <c r="F44" s="306"/>
      <c r="G44" s="306"/>
      <c r="H44" s="306"/>
      <c r="I44" s="306">
        <v>4022.7517411926747</v>
      </c>
      <c r="J44" s="306">
        <v>1427.2023568753145</v>
      </c>
      <c r="K44" s="306">
        <v>20.988269954048729</v>
      </c>
      <c r="L44" s="61"/>
      <c r="M44" s="61"/>
      <c r="N44" s="61"/>
      <c r="O44" s="25"/>
      <c r="P44" s="25"/>
    </row>
    <row r="45" spans="2:16" hidden="1" x14ac:dyDescent="0.25">
      <c r="B45" s="18" t="s">
        <v>139</v>
      </c>
      <c r="I45" s="60"/>
    </row>
    <row r="46" spans="2:16" ht="15" hidden="1" customHeight="1" x14ac:dyDescent="0.25">
      <c r="B46" s="574" t="s">
        <v>1</v>
      </c>
      <c r="C46" s="576" t="s">
        <v>2</v>
      </c>
      <c r="D46" s="576" t="s">
        <v>22</v>
      </c>
      <c r="E46" s="578" t="s">
        <v>47</v>
      </c>
      <c r="F46" s="580" t="s">
        <v>48</v>
      </c>
      <c r="G46" s="573"/>
      <c r="H46" s="567"/>
      <c r="I46" s="580" t="s">
        <v>50</v>
      </c>
      <c r="J46" s="573"/>
      <c r="K46" s="567"/>
      <c r="L46" s="566" t="s">
        <v>136</v>
      </c>
      <c r="M46" s="573"/>
      <c r="N46" s="567"/>
      <c r="O46" s="18"/>
      <c r="P46" s="18"/>
    </row>
    <row r="47" spans="2:16" ht="15.75" hidden="1" thickBot="1" x14ac:dyDescent="0.3">
      <c r="B47" s="575"/>
      <c r="C47" s="577"/>
      <c r="D47" s="577"/>
      <c r="E47" s="579"/>
      <c r="F47" s="380" t="s">
        <v>35</v>
      </c>
      <c r="G47" s="381" t="s">
        <v>36</v>
      </c>
      <c r="H47" s="382" t="s">
        <v>37</v>
      </c>
      <c r="I47" s="380" t="s">
        <v>35</v>
      </c>
      <c r="J47" s="381" t="s">
        <v>36</v>
      </c>
      <c r="K47" s="382" t="s">
        <v>37</v>
      </c>
      <c r="L47" s="405" t="s">
        <v>35</v>
      </c>
      <c r="M47" s="381" t="s">
        <v>36</v>
      </c>
      <c r="N47" s="382" t="s">
        <v>37</v>
      </c>
      <c r="O47" s="474"/>
      <c r="P47" s="474"/>
    </row>
    <row r="48" spans="2:16" hidden="1" x14ac:dyDescent="0.25">
      <c r="B48" s="101">
        <v>2021</v>
      </c>
      <c r="C48" s="102">
        <v>0</v>
      </c>
      <c r="D48" s="138">
        <v>1</v>
      </c>
      <c r="E48" s="163">
        <f t="shared" ref="E48:E53" si="4">$E$54*(1+0.005)^(B48-$B$54)</f>
        <v>0</v>
      </c>
      <c r="F48" s="167" t="e">
        <f>ROUND((('[1]Collision Data '!B$7*$E48*365*'[1]Collision Data '!$B$58)/1000000),1)</f>
        <v>#DIV/0!</v>
      </c>
      <c r="G48" s="168" t="e">
        <f>ROUND((('[1]Collision Data '!C$7*$E48*365*'[1]Collision Data '!$B$58)/1000000),1)</f>
        <v>#DIV/0!</v>
      </c>
      <c r="H48" s="169" t="e">
        <f>ROUND((('[1]Collision Data '!D$7*$E48*365*'[1]Collision Data '!$B$58)/1000000),1)</f>
        <v>#DIV/0!</v>
      </c>
      <c r="I48" s="171" t="e">
        <f>ROUND((F48*0.3*0.59)/2,0)</f>
        <v>#DIV/0!</v>
      </c>
      <c r="J48" s="168">
        <v>0</v>
      </c>
      <c r="K48" s="169" t="e">
        <f t="shared" ref="K48:K53" si="5">ROUND(H48*0.3*0.59,0)</f>
        <v>#DIV/0!</v>
      </c>
      <c r="L48" s="438" t="e">
        <f>I48*[1]Parameters!$D$28*'[1]Collision Data '!$E$9</f>
        <v>#DIV/0!</v>
      </c>
      <c r="M48" s="437">
        <f>J48*[1]Parameters!$D$23*'[1]Collision Data '!$E$10</f>
        <v>0</v>
      </c>
      <c r="N48" s="170" t="e">
        <f>K48*[1]Parameters!$D$24*'[1]Collision Data '!$E$10</f>
        <v>#DIV/0!</v>
      </c>
      <c r="O48" s="53"/>
      <c r="P48" s="53"/>
    </row>
    <row r="49" spans="2:16" hidden="1" x14ac:dyDescent="0.25">
      <c r="B49" s="389">
        <v>2022</v>
      </c>
      <c r="C49" s="384">
        <v>0</v>
      </c>
      <c r="D49" s="139">
        <v>2</v>
      </c>
      <c r="E49" s="421">
        <f t="shared" si="4"/>
        <v>0</v>
      </c>
      <c r="F49" s="431" t="e">
        <f>ROUND((('[1]Collision Data '!B$7*$E49*365*'[1]Collision Data '!$B$58)/1000000),1)</f>
        <v>#DIV/0!</v>
      </c>
      <c r="G49" s="415" t="e">
        <f>ROUND((('[1]Collision Data '!C$7*$E49*365*'[1]Collision Data '!$B$58)/1000000),1)</f>
        <v>#DIV/0!</v>
      </c>
      <c r="H49" s="414" t="e">
        <f>ROUND((('[1]Collision Data '!D$7*$E49*365*'[1]Collision Data '!$B$58)/1000000),1)</f>
        <v>#DIV/0!</v>
      </c>
      <c r="I49" s="132" t="e">
        <f t="shared" ref="I49:I50" si="6">ROUND((F49*0.3*0.59)/2,0)</f>
        <v>#DIV/0!</v>
      </c>
      <c r="J49" s="415">
        <v>0</v>
      </c>
      <c r="K49" s="414" t="e">
        <f t="shared" si="5"/>
        <v>#DIV/0!</v>
      </c>
      <c r="L49" s="149" t="e">
        <f>I49*[1]Parameters!$D$28*'[1]Collision Data '!$E$9</f>
        <v>#DIV/0!</v>
      </c>
      <c r="M49" s="144">
        <f>J49*[1]Parameters!$D$23*'[1]Collision Data '!$E$10</f>
        <v>0</v>
      </c>
      <c r="N49" s="161" t="e">
        <f>K49*[1]Parameters!$D$24*'[1]Collision Data '!$E$10</f>
        <v>#DIV/0!</v>
      </c>
      <c r="O49" s="53"/>
      <c r="P49" s="53"/>
    </row>
    <row r="50" spans="2:16" hidden="1" x14ac:dyDescent="0.25">
      <c r="B50" s="389">
        <v>2023</v>
      </c>
      <c r="C50" s="384">
        <v>0</v>
      </c>
      <c r="D50" s="139">
        <v>3</v>
      </c>
      <c r="E50" s="421">
        <f t="shared" si="4"/>
        <v>0</v>
      </c>
      <c r="F50" s="431" t="e">
        <f>ROUND((('[1]Collision Data '!B$7*$E50*365*'[1]Collision Data '!$B$58)/1000000),1)</f>
        <v>#DIV/0!</v>
      </c>
      <c r="G50" s="415" t="e">
        <f>ROUND((('[1]Collision Data '!C$7*$E50*365*'[1]Collision Data '!$B$58)/1000000),1)</f>
        <v>#DIV/0!</v>
      </c>
      <c r="H50" s="414" t="e">
        <f>ROUND((('[1]Collision Data '!D$7*$E50*365*'[1]Collision Data '!$B$58)/1000000),1)</f>
        <v>#DIV/0!</v>
      </c>
      <c r="I50" s="132" t="e">
        <f t="shared" si="6"/>
        <v>#DIV/0!</v>
      </c>
      <c r="J50" s="415">
        <v>0</v>
      </c>
      <c r="K50" s="414" t="e">
        <f t="shared" si="5"/>
        <v>#DIV/0!</v>
      </c>
      <c r="L50" s="149" t="e">
        <f>I50*[1]Parameters!$D$28*'[1]Collision Data '!$E$9</f>
        <v>#DIV/0!</v>
      </c>
      <c r="M50" s="144">
        <f>J50*[1]Parameters!$D$23*'[1]Collision Data '!$E$10</f>
        <v>0</v>
      </c>
      <c r="N50" s="161" t="e">
        <f>K50*[1]Parameters!$D$24*'[1]Collision Data '!$E$10</f>
        <v>#DIV/0!</v>
      </c>
      <c r="O50" s="53"/>
      <c r="P50" s="53"/>
    </row>
    <row r="51" spans="2:16" hidden="1" x14ac:dyDescent="0.25">
      <c r="B51" s="389">
        <v>2024</v>
      </c>
      <c r="C51" s="384">
        <v>0</v>
      </c>
      <c r="D51" s="139">
        <v>4</v>
      </c>
      <c r="E51" s="421">
        <f t="shared" si="4"/>
        <v>0</v>
      </c>
      <c r="F51" s="431" t="e">
        <f>ROUND((('[1]Collision Data '!B$7*$E51*365*'[1]Collision Data '!$B$58)/1000000),1)</f>
        <v>#DIV/0!</v>
      </c>
      <c r="G51" s="415" t="e">
        <f>ROUND((('[1]Collision Data '!C$7*$E51*365*'[1]Collision Data '!$B$58)/1000000),1)</f>
        <v>#DIV/0!</v>
      </c>
      <c r="H51" s="414" t="e">
        <f>ROUND((('[1]Collision Data '!D$7*$E51*365*'[1]Collision Data '!$B$58)/1000000),1)</f>
        <v>#DIV/0!</v>
      </c>
      <c r="I51" s="132" t="e">
        <f t="shared" ref="I51:I53" si="7">ROUND(F51*0.3*0.59,0)</f>
        <v>#DIV/0!</v>
      </c>
      <c r="J51" s="415">
        <v>0</v>
      </c>
      <c r="K51" s="414" t="e">
        <f t="shared" si="5"/>
        <v>#DIV/0!</v>
      </c>
      <c r="L51" s="149" t="e">
        <f>I51*[1]Parameters!$D$28*'[1]Collision Data '!$E$9</f>
        <v>#DIV/0!</v>
      </c>
      <c r="M51" s="144">
        <f>J51*[1]Parameters!$D$23*'[1]Collision Data '!$E$10</f>
        <v>0</v>
      </c>
      <c r="N51" s="161" t="e">
        <f>K51*[1]Parameters!$D$24*'[1]Collision Data '!$E$10</f>
        <v>#DIV/0!</v>
      </c>
      <c r="O51" s="53"/>
      <c r="P51" s="53"/>
    </row>
    <row r="52" spans="2:16" hidden="1" x14ac:dyDescent="0.25">
      <c r="B52" s="389">
        <v>2025</v>
      </c>
      <c r="C52" s="384">
        <v>0</v>
      </c>
      <c r="D52" s="139">
        <v>5</v>
      </c>
      <c r="E52" s="421">
        <f t="shared" si="4"/>
        <v>0</v>
      </c>
      <c r="F52" s="431" t="e">
        <f>ROUND((('[1]Collision Data '!B$7*$E52*365*'[1]Collision Data '!$B$58)/1000000),1)</f>
        <v>#DIV/0!</v>
      </c>
      <c r="G52" s="415" t="e">
        <f>ROUND((('[1]Collision Data '!C$7*$E52*365*'[1]Collision Data '!$B$58)/1000000),1)</f>
        <v>#DIV/0!</v>
      </c>
      <c r="H52" s="414" t="e">
        <f>ROUND((('[1]Collision Data '!D$7*$E52*365*'[1]Collision Data '!$B$58)/1000000),1)</f>
        <v>#DIV/0!</v>
      </c>
      <c r="I52" s="132" t="e">
        <f t="shared" si="7"/>
        <v>#DIV/0!</v>
      </c>
      <c r="J52" s="415">
        <v>0</v>
      </c>
      <c r="K52" s="414" t="e">
        <f t="shared" si="5"/>
        <v>#DIV/0!</v>
      </c>
      <c r="L52" s="149" t="e">
        <f>I52*[1]Parameters!$D$28*'[1]Collision Data '!$E$9</f>
        <v>#DIV/0!</v>
      </c>
      <c r="M52" s="144">
        <f>J52*[1]Parameters!$D$23*'[1]Collision Data '!$E$10</f>
        <v>0</v>
      </c>
      <c r="N52" s="161" t="e">
        <f>K52*[1]Parameters!$D$24*'[1]Collision Data '!$E$10</f>
        <v>#DIV/0!</v>
      </c>
      <c r="O52" s="53"/>
      <c r="P52" s="53"/>
    </row>
    <row r="53" spans="2:16" hidden="1" x14ac:dyDescent="0.25">
      <c r="B53" s="389">
        <v>2026</v>
      </c>
      <c r="C53" s="384">
        <v>0</v>
      </c>
      <c r="D53" s="139">
        <v>6</v>
      </c>
      <c r="E53" s="421">
        <f t="shared" si="4"/>
        <v>0</v>
      </c>
      <c r="F53" s="431" t="e">
        <f>ROUND((('[1]Collision Data '!B$7*$E53*365*'[1]Collision Data '!$B$58)/1000000),1)</f>
        <v>#DIV/0!</v>
      </c>
      <c r="G53" s="415" t="e">
        <f>ROUND((('[1]Collision Data '!C$7*$E53*365*'[1]Collision Data '!$B$58)/1000000),1)</f>
        <v>#DIV/0!</v>
      </c>
      <c r="H53" s="414" t="e">
        <f>ROUND((('[1]Collision Data '!D$7*$E53*365*'[1]Collision Data '!$B$58)/1000000),1)</f>
        <v>#DIV/0!</v>
      </c>
      <c r="I53" s="132" t="e">
        <f t="shared" si="7"/>
        <v>#DIV/0!</v>
      </c>
      <c r="J53" s="415">
        <v>0</v>
      </c>
      <c r="K53" s="414" t="e">
        <f t="shared" si="5"/>
        <v>#DIV/0!</v>
      </c>
      <c r="L53" s="149" t="e">
        <f>I53*[1]Parameters!$D$28*'[1]Collision Data '!$E$9</f>
        <v>#DIV/0!</v>
      </c>
      <c r="M53" s="144">
        <f>J53*[1]Parameters!$D$23*'[1]Collision Data '!$E$10</f>
        <v>0</v>
      </c>
      <c r="N53" s="161" t="e">
        <f>K53*[1]Parameters!$D$24*'[1]Collision Data '!$E$10</f>
        <v>#DIV/0!</v>
      </c>
      <c r="O53" s="53"/>
      <c r="P53" s="53"/>
    </row>
    <row r="54" spans="2:16" hidden="1" x14ac:dyDescent="0.25">
      <c r="B54" s="391">
        <v>2027</v>
      </c>
      <c r="C54" s="385">
        <v>1</v>
      </c>
      <c r="D54" s="140">
        <v>7</v>
      </c>
      <c r="E54" s="422">
        <f>'[1]Collision Data '!M58</f>
        <v>0</v>
      </c>
      <c r="F54" s="172" t="e">
        <f>ROUND((('[1]Collision Data '!B$7*$E54*365*'[1]Collision Data '!$B$58)/1000000),1)</f>
        <v>#DIV/0!</v>
      </c>
      <c r="G54" s="69" t="e">
        <f>ROUND((('[1]Collision Data '!C$7*$E54*365*'[1]Collision Data '!$B$58)/1000000),1)</f>
        <v>#DIV/0!</v>
      </c>
      <c r="H54" s="71" t="e">
        <f>ROUND((('[1]Collision Data '!D$7*$E54*365*'[1]Collision Data '!$B$58)/1000000),1)</f>
        <v>#DIV/0!</v>
      </c>
      <c r="I54" s="173" t="e">
        <f>ROUND(F54-(F54*'[1]Collision Data '!$B$18),1)</f>
        <v>#DIV/0!</v>
      </c>
      <c r="J54" s="69" t="e">
        <f>ROUND(G54-(G54*'[1]Collision Data '!$B$18),1)</f>
        <v>#DIV/0!</v>
      </c>
      <c r="K54" s="71" t="e">
        <f>ROUND(H54-(H54*'[1]Collision Data '!$B$18),2)</f>
        <v>#DIV/0!</v>
      </c>
      <c r="L54" s="150" t="e">
        <f>I54*[1]Parameters!$D$28*'[1]Collision Data '!$E$9</f>
        <v>#DIV/0!</v>
      </c>
      <c r="M54" s="145" t="e">
        <f>J54*[1]Parameters!$D$23*'[1]Collision Data '!$E$10</f>
        <v>#DIV/0!</v>
      </c>
      <c r="N54" s="162" t="e">
        <f>K54*[1]Parameters!$D$24*'[1]Collision Data '!$E$10</f>
        <v>#DIV/0!</v>
      </c>
      <c r="O54" s="53"/>
      <c r="P54" s="53"/>
    </row>
    <row r="55" spans="2:16" hidden="1" x14ac:dyDescent="0.25">
      <c r="B55" s="393">
        <v>2028</v>
      </c>
      <c r="C55" s="386">
        <v>2</v>
      </c>
      <c r="D55" s="141">
        <v>8</v>
      </c>
      <c r="E55" s="475">
        <f t="shared" ref="E55:E84" si="8">$E$54*(1+0.005)^(B55-$B$54)</f>
        <v>0</v>
      </c>
      <c r="F55" s="472" t="e">
        <f>ROUND((('[1]Collision Data '!B$7*$E55*365*'[1]Collision Data '!$B$58)/1000000),1)</f>
        <v>#DIV/0!</v>
      </c>
      <c r="G55" s="480" t="e">
        <f>ROUND((('[1]Collision Data '!C$7*$E55*365*'[1]Collision Data '!$B$58)/1000000),1)</f>
        <v>#DIV/0!</v>
      </c>
      <c r="H55" s="481" t="e">
        <f>ROUND((('[1]Collision Data '!D$7*$E55*365*'[1]Collision Data '!$B$58)/1000000),1)</f>
        <v>#DIV/0!</v>
      </c>
      <c r="I55" s="482" t="e">
        <f>ROUND(F55-(F55*'[1]Collision Data '!$B$18),1)</f>
        <v>#DIV/0!</v>
      </c>
      <c r="J55" s="480" t="e">
        <f>ROUND(G55-(G55*'[1]Collision Data '!$B$18),1)</f>
        <v>#DIV/0!</v>
      </c>
      <c r="K55" s="481" t="e">
        <f>ROUND(H55-(H55*'[1]Collision Data '!$B$18),2)</f>
        <v>#DIV/0!</v>
      </c>
      <c r="L55" s="483" t="e">
        <f>I55*[1]Parameters!$D$28*'[1]Collision Data '!$E$9</f>
        <v>#DIV/0!</v>
      </c>
      <c r="M55" s="484" t="e">
        <f>J55*[1]Parameters!$D$23*'[1]Collision Data '!$E$10</f>
        <v>#DIV/0!</v>
      </c>
      <c r="N55" s="485" t="e">
        <f>K55*[1]Parameters!$D$24*'[1]Collision Data '!$E$10</f>
        <v>#DIV/0!</v>
      </c>
      <c r="O55" s="53"/>
      <c r="P55" s="53"/>
    </row>
    <row r="56" spans="2:16" hidden="1" x14ac:dyDescent="0.25">
      <c r="B56" s="395">
        <v>2029</v>
      </c>
      <c r="C56" s="387">
        <v>3</v>
      </c>
      <c r="D56" s="142">
        <v>9</v>
      </c>
      <c r="E56" s="475">
        <f t="shared" si="8"/>
        <v>0</v>
      </c>
      <c r="F56" s="472" t="e">
        <f>ROUND((('[1]Collision Data '!B$7*$E56*365*'[1]Collision Data '!$B$58)/1000000),1)</f>
        <v>#DIV/0!</v>
      </c>
      <c r="G56" s="480" t="e">
        <f>ROUND((('[1]Collision Data '!C$7*$E56*365*'[1]Collision Data '!$B$58)/1000000),1)</f>
        <v>#DIV/0!</v>
      </c>
      <c r="H56" s="481" t="e">
        <f>ROUND((('[1]Collision Data '!D$7*$E56*365*'[1]Collision Data '!$B$58)/1000000),1)</f>
        <v>#DIV/0!</v>
      </c>
      <c r="I56" s="482" t="e">
        <f>ROUND(F56-(F56*'[1]Collision Data '!$B$18),1)</f>
        <v>#DIV/0!</v>
      </c>
      <c r="J56" s="480" t="e">
        <f>ROUND(G56-(G56*'[1]Collision Data '!$B$18),1)</f>
        <v>#DIV/0!</v>
      </c>
      <c r="K56" s="481" t="e">
        <f>ROUND(H56-(H56*'[1]Collision Data '!$B$18),2)</f>
        <v>#DIV/0!</v>
      </c>
      <c r="L56" s="483" t="e">
        <f>I56*[1]Parameters!$D$28*'[1]Collision Data '!$E$9</f>
        <v>#DIV/0!</v>
      </c>
      <c r="M56" s="484" t="e">
        <f>J56*[1]Parameters!$D$23*'[1]Collision Data '!$E$10</f>
        <v>#DIV/0!</v>
      </c>
      <c r="N56" s="485" t="e">
        <f>K56*[1]Parameters!$D$24*'[1]Collision Data '!$E$10</f>
        <v>#DIV/0!</v>
      </c>
      <c r="O56" s="53"/>
      <c r="P56" s="53"/>
    </row>
    <row r="57" spans="2:16" hidden="1" x14ac:dyDescent="0.25">
      <c r="B57" s="393">
        <v>2030</v>
      </c>
      <c r="C57" s="387">
        <v>4</v>
      </c>
      <c r="D57" s="142">
        <v>10</v>
      </c>
      <c r="E57" s="475">
        <f t="shared" si="8"/>
        <v>0</v>
      </c>
      <c r="F57" s="472" t="e">
        <f>ROUND((('[1]Collision Data '!B$7*$E57*365*'[1]Collision Data '!$B$58)/1000000),1)</f>
        <v>#DIV/0!</v>
      </c>
      <c r="G57" s="480" t="e">
        <f>ROUND((('[1]Collision Data '!C$7*$E57*365*'[1]Collision Data '!$B$58)/1000000),1)</f>
        <v>#DIV/0!</v>
      </c>
      <c r="H57" s="481" t="e">
        <f>ROUND((('[1]Collision Data '!D$7*$E57*365*'[1]Collision Data '!$B$58)/1000000),1)</f>
        <v>#DIV/0!</v>
      </c>
      <c r="I57" s="482" t="e">
        <f>ROUND(F57-(F57*'[1]Collision Data '!$B$18),1)</f>
        <v>#DIV/0!</v>
      </c>
      <c r="J57" s="480" t="e">
        <f>ROUND(G57-(G57*'[1]Collision Data '!$B$18),1)</f>
        <v>#DIV/0!</v>
      </c>
      <c r="K57" s="481" t="e">
        <f>ROUND(H57-(H57*'[1]Collision Data '!$B$18),2)</f>
        <v>#DIV/0!</v>
      </c>
      <c r="L57" s="483" t="e">
        <f>I57*[1]Parameters!$D$28*'[1]Collision Data '!$E$9</f>
        <v>#DIV/0!</v>
      </c>
      <c r="M57" s="484" t="e">
        <f>J57*[1]Parameters!$D$23*'[1]Collision Data '!$E$10</f>
        <v>#DIV/0!</v>
      </c>
      <c r="N57" s="485" t="e">
        <f>K57*[1]Parameters!$D$24*'[1]Collision Data '!$E$10</f>
        <v>#DIV/0!</v>
      </c>
      <c r="O57" s="53"/>
      <c r="P57" s="53"/>
    </row>
    <row r="58" spans="2:16" hidden="1" x14ac:dyDescent="0.25">
      <c r="B58" s="395">
        <v>2031</v>
      </c>
      <c r="C58" s="387">
        <v>5</v>
      </c>
      <c r="D58" s="142">
        <v>11</v>
      </c>
      <c r="E58" s="475">
        <f t="shared" si="8"/>
        <v>0</v>
      </c>
      <c r="F58" s="472" t="e">
        <f>ROUND((('[1]Collision Data '!B$7*$E58*365*'[1]Collision Data '!$B$58)/1000000),1)</f>
        <v>#DIV/0!</v>
      </c>
      <c r="G58" s="480" t="e">
        <f>ROUND((('[1]Collision Data '!C$7*$E58*365*'[1]Collision Data '!$B$58)/1000000),1)</f>
        <v>#DIV/0!</v>
      </c>
      <c r="H58" s="481" t="e">
        <f>ROUND((('[1]Collision Data '!D$7*$E58*365*'[1]Collision Data '!$B$58)/1000000),1)</f>
        <v>#DIV/0!</v>
      </c>
      <c r="I58" s="482" t="e">
        <f>ROUND(F58-(F58*'[1]Collision Data '!$B$18),1)</f>
        <v>#DIV/0!</v>
      </c>
      <c r="J58" s="480" t="e">
        <f>ROUND(G58-(G58*'[1]Collision Data '!$B$18),1)</f>
        <v>#DIV/0!</v>
      </c>
      <c r="K58" s="481" t="e">
        <f>ROUND(H58-(H58*'[1]Collision Data '!$B$18),2)</f>
        <v>#DIV/0!</v>
      </c>
      <c r="L58" s="483" t="e">
        <f>I58*[1]Parameters!$D$28*'[1]Collision Data '!$E$9</f>
        <v>#DIV/0!</v>
      </c>
      <c r="M58" s="484" t="e">
        <f>J58*[1]Parameters!$D$23*'[1]Collision Data '!$E$10</f>
        <v>#DIV/0!</v>
      </c>
      <c r="N58" s="485" t="e">
        <f>K58*[1]Parameters!$D$24*'[1]Collision Data '!$E$10</f>
        <v>#DIV/0!</v>
      </c>
      <c r="O58" s="53"/>
      <c r="P58" s="53"/>
    </row>
    <row r="59" spans="2:16" hidden="1" x14ac:dyDescent="0.25">
      <c r="B59" s="393">
        <v>2032</v>
      </c>
      <c r="C59" s="387">
        <v>6</v>
      </c>
      <c r="D59" s="142">
        <v>12</v>
      </c>
      <c r="E59" s="475">
        <f t="shared" si="8"/>
        <v>0</v>
      </c>
      <c r="F59" s="472" t="e">
        <f>ROUND((('[1]Collision Data '!B$7*$E59*365*'[1]Collision Data '!$B$58)/1000000),1)</f>
        <v>#DIV/0!</v>
      </c>
      <c r="G59" s="480" t="e">
        <f>ROUND((('[1]Collision Data '!C$7*$E59*365*'[1]Collision Data '!$B$58)/1000000),1)</f>
        <v>#DIV/0!</v>
      </c>
      <c r="H59" s="481" t="e">
        <f>ROUND((('[1]Collision Data '!D$7*$E59*365*'[1]Collision Data '!$B$58)/1000000),1)</f>
        <v>#DIV/0!</v>
      </c>
      <c r="I59" s="482" t="e">
        <f>ROUND(F59-(F59*'[1]Collision Data '!$B$18),1)</f>
        <v>#DIV/0!</v>
      </c>
      <c r="J59" s="480" t="e">
        <f>ROUND(G59-(G59*'[1]Collision Data '!$B$18),1)</f>
        <v>#DIV/0!</v>
      </c>
      <c r="K59" s="481" t="e">
        <f>ROUND(H59-(H59*'[1]Collision Data '!$B$18),2)</f>
        <v>#DIV/0!</v>
      </c>
      <c r="L59" s="483" t="e">
        <f>I59*[1]Parameters!$D$28*'[1]Collision Data '!$E$9</f>
        <v>#DIV/0!</v>
      </c>
      <c r="M59" s="484" t="e">
        <f>J59*[1]Parameters!$D$23*'[1]Collision Data '!$E$10</f>
        <v>#DIV/0!</v>
      </c>
      <c r="N59" s="485" t="e">
        <f>K59*[1]Parameters!$D$24*'[1]Collision Data '!$E$10</f>
        <v>#DIV/0!</v>
      </c>
      <c r="O59" s="53"/>
      <c r="P59" s="53"/>
    </row>
    <row r="60" spans="2:16" hidden="1" x14ac:dyDescent="0.25">
      <c r="B60" s="395">
        <v>2033</v>
      </c>
      <c r="C60" s="387">
        <v>7</v>
      </c>
      <c r="D60" s="142">
        <v>13</v>
      </c>
      <c r="E60" s="475">
        <f t="shared" si="8"/>
        <v>0</v>
      </c>
      <c r="F60" s="472" t="e">
        <f>ROUND((('[1]Collision Data '!B$7*$E60*365*'[1]Collision Data '!$B$58)/1000000),1)</f>
        <v>#DIV/0!</v>
      </c>
      <c r="G60" s="480" t="e">
        <f>ROUND((('[1]Collision Data '!C$7*$E60*365*'[1]Collision Data '!$B$58)/1000000),1)</f>
        <v>#DIV/0!</v>
      </c>
      <c r="H60" s="481" t="e">
        <f>ROUND((('[1]Collision Data '!D$7*$E60*365*'[1]Collision Data '!$B$58)/1000000),1)</f>
        <v>#DIV/0!</v>
      </c>
      <c r="I60" s="482" t="e">
        <f>ROUND(F60-(F60*'[1]Collision Data '!$B$18),1)</f>
        <v>#DIV/0!</v>
      </c>
      <c r="J60" s="480" t="e">
        <f>ROUND(G60-(G60*'[1]Collision Data '!$B$18),1)</f>
        <v>#DIV/0!</v>
      </c>
      <c r="K60" s="481" t="e">
        <f>ROUND(H60-(H60*'[1]Collision Data '!$B$18),2)</f>
        <v>#DIV/0!</v>
      </c>
      <c r="L60" s="483" t="e">
        <f>I60*[1]Parameters!$D$28*'[1]Collision Data '!$E$9</f>
        <v>#DIV/0!</v>
      </c>
      <c r="M60" s="484" t="e">
        <f>J60*[1]Parameters!$D$23*'[1]Collision Data '!$E$10</f>
        <v>#DIV/0!</v>
      </c>
      <c r="N60" s="485" t="e">
        <f>K60*[1]Parameters!$D$24*'[1]Collision Data '!$E$10</f>
        <v>#DIV/0!</v>
      </c>
      <c r="O60" s="53"/>
      <c r="P60" s="53"/>
    </row>
    <row r="61" spans="2:16" hidden="1" x14ac:dyDescent="0.25">
      <c r="B61" s="393">
        <v>2034</v>
      </c>
      <c r="C61" s="387">
        <v>8</v>
      </c>
      <c r="D61" s="142">
        <v>14</v>
      </c>
      <c r="E61" s="475">
        <f t="shared" si="8"/>
        <v>0</v>
      </c>
      <c r="F61" s="472" t="e">
        <f>ROUND((('[1]Collision Data '!B$7*$E61*365*'[1]Collision Data '!$B$58)/1000000),1)</f>
        <v>#DIV/0!</v>
      </c>
      <c r="G61" s="480" t="e">
        <f>ROUND((('[1]Collision Data '!C$7*$E61*365*'[1]Collision Data '!$B$58)/1000000),1)</f>
        <v>#DIV/0!</v>
      </c>
      <c r="H61" s="481" t="e">
        <f>ROUND((('[1]Collision Data '!D$7*$E61*365*'[1]Collision Data '!$B$58)/1000000),1)</f>
        <v>#DIV/0!</v>
      </c>
      <c r="I61" s="482" t="e">
        <f>ROUND(F61-(F61*'[1]Collision Data '!$B$18),1)</f>
        <v>#DIV/0!</v>
      </c>
      <c r="J61" s="480" t="e">
        <f>ROUND(G61-(G61*'[1]Collision Data '!$B$18),1)</f>
        <v>#DIV/0!</v>
      </c>
      <c r="K61" s="481" t="e">
        <f>ROUND(H61-(H61*'[1]Collision Data '!$B$18),2)</f>
        <v>#DIV/0!</v>
      </c>
      <c r="L61" s="483" t="e">
        <f>I61*[1]Parameters!$D$28*'[1]Collision Data '!$E$9</f>
        <v>#DIV/0!</v>
      </c>
      <c r="M61" s="484" t="e">
        <f>J61*[1]Parameters!$D$23*'[1]Collision Data '!$E$10</f>
        <v>#DIV/0!</v>
      </c>
      <c r="N61" s="485" t="e">
        <f>K61*[1]Parameters!$D$24*'[1]Collision Data '!$E$10</f>
        <v>#DIV/0!</v>
      </c>
      <c r="O61" s="53"/>
      <c r="P61" s="53"/>
    </row>
    <row r="62" spans="2:16" hidden="1" x14ac:dyDescent="0.25">
      <c r="B62" s="395">
        <v>2035</v>
      </c>
      <c r="C62" s="387">
        <v>9</v>
      </c>
      <c r="D62" s="142">
        <v>15</v>
      </c>
      <c r="E62" s="475">
        <f t="shared" si="8"/>
        <v>0</v>
      </c>
      <c r="F62" s="472" t="e">
        <f>ROUND((('[1]Collision Data '!B$7*$E62*365*'[1]Collision Data '!$B$58)/1000000),1)</f>
        <v>#DIV/0!</v>
      </c>
      <c r="G62" s="480" t="e">
        <f>ROUND((('[1]Collision Data '!C$7*$E62*365*'[1]Collision Data '!$B$58)/1000000),1)</f>
        <v>#DIV/0!</v>
      </c>
      <c r="H62" s="481" t="e">
        <f>ROUND((('[1]Collision Data '!D$7*$E62*365*'[1]Collision Data '!$B$58)/1000000),1)</f>
        <v>#DIV/0!</v>
      </c>
      <c r="I62" s="482" t="e">
        <f>ROUND(F62-(F62*'[1]Collision Data '!$B$18),1)</f>
        <v>#DIV/0!</v>
      </c>
      <c r="J62" s="480" t="e">
        <f>ROUND(G62-(G62*'[1]Collision Data '!$B$18),1)</f>
        <v>#DIV/0!</v>
      </c>
      <c r="K62" s="481" t="e">
        <f>ROUND(H62-(H62*'[1]Collision Data '!$B$18),2)</f>
        <v>#DIV/0!</v>
      </c>
      <c r="L62" s="483" t="e">
        <f>I62*[1]Parameters!$D$28*'[1]Collision Data '!$E$9</f>
        <v>#DIV/0!</v>
      </c>
      <c r="M62" s="484" t="e">
        <f>J62*[1]Parameters!$D$23*'[1]Collision Data '!$E$10</f>
        <v>#DIV/0!</v>
      </c>
      <c r="N62" s="485" t="e">
        <f>K62*[1]Parameters!$D$24*'[1]Collision Data '!$E$10</f>
        <v>#DIV/0!</v>
      </c>
      <c r="O62" s="53"/>
      <c r="P62" s="53"/>
    </row>
    <row r="63" spans="2:16" hidden="1" x14ac:dyDescent="0.25">
      <c r="B63" s="393">
        <v>2036</v>
      </c>
      <c r="C63" s="387">
        <v>10</v>
      </c>
      <c r="D63" s="142">
        <v>16</v>
      </c>
      <c r="E63" s="475">
        <f t="shared" si="8"/>
        <v>0</v>
      </c>
      <c r="F63" s="472" t="e">
        <f>ROUND((('[1]Collision Data '!B$7*$E63*365*'[1]Collision Data '!$B$58)/1000000),1)</f>
        <v>#DIV/0!</v>
      </c>
      <c r="G63" s="480" t="e">
        <f>ROUND((('[1]Collision Data '!C$7*$E63*365*'[1]Collision Data '!$B$58)/1000000),1)</f>
        <v>#DIV/0!</v>
      </c>
      <c r="H63" s="481" t="e">
        <f>ROUND((('[1]Collision Data '!D$7*$E63*365*'[1]Collision Data '!$B$58)/1000000),1)</f>
        <v>#DIV/0!</v>
      </c>
      <c r="I63" s="482" t="e">
        <f>ROUND(F63-(F63*'[1]Collision Data '!$B$18),1)</f>
        <v>#DIV/0!</v>
      </c>
      <c r="J63" s="480" t="e">
        <f>ROUND(G63-(G63*'[1]Collision Data '!$B$18),1)</f>
        <v>#DIV/0!</v>
      </c>
      <c r="K63" s="481" t="e">
        <f>ROUND(H63-(H63*'[1]Collision Data '!$B$18),2)</f>
        <v>#DIV/0!</v>
      </c>
      <c r="L63" s="483" t="e">
        <f>I63*[1]Parameters!$D$28*'[1]Collision Data '!$E$9</f>
        <v>#DIV/0!</v>
      </c>
      <c r="M63" s="484" t="e">
        <f>J63*[1]Parameters!$D$23*'[1]Collision Data '!$E$10</f>
        <v>#DIV/0!</v>
      </c>
      <c r="N63" s="485" t="e">
        <f>K63*[1]Parameters!$D$24*'[1]Collision Data '!$E$10</f>
        <v>#DIV/0!</v>
      </c>
      <c r="O63" s="53"/>
      <c r="P63" s="53"/>
    </row>
    <row r="64" spans="2:16" hidden="1" x14ac:dyDescent="0.25">
      <c r="B64" s="395">
        <v>2037</v>
      </c>
      <c r="C64" s="387">
        <v>11</v>
      </c>
      <c r="D64" s="142">
        <v>17</v>
      </c>
      <c r="E64" s="475">
        <f t="shared" si="8"/>
        <v>0</v>
      </c>
      <c r="F64" s="472" t="e">
        <f>ROUND((('[1]Collision Data '!B$7*$E64*365*'[1]Collision Data '!$B$58)/1000000),1)</f>
        <v>#DIV/0!</v>
      </c>
      <c r="G64" s="480" t="e">
        <f>ROUND((('[1]Collision Data '!C$7*$E64*365*'[1]Collision Data '!$B$58)/1000000),1)</f>
        <v>#DIV/0!</v>
      </c>
      <c r="H64" s="481" t="e">
        <f>ROUND((('[1]Collision Data '!D$7*$E64*365*'[1]Collision Data '!$B$58)/1000000),1)</f>
        <v>#DIV/0!</v>
      </c>
      <c r="I64" s="482" t="e">
        <f>ROUND(F64-(F64*'[1]Collision Data '!$B$18),1)</f>
        <v>#DIV/0!</v>
      </c>
      <c r="J64" s="480" t="e">
        <f>ROUND(G64-(G64*'[1]Collision Data '!$B$18),1)</f>
        <v>#DIV/0!</v>
      </c>
      <c r="K64" s="481" t="e">
        <f>ROUND(H64-(H64*'[1]Collision Data '!$B$18),2)</f>
        <v>#DIV/0!</v>
      </c>
      <c r="L64" s="483" t="e">
        <f>I64*[1]Parameters!$D$28*'[1]Collision Data '!$E$9</f>
        <v>#DIV/0!</v>
      </c>
      <c r="M64" s="484" t="e">
        <f>J64*[1]Parameters!$D$23*'[1]Collision Data '!$E$10</f>
        <v>#DIV/0!</v>
      </c>
      <c r="N64" s="485" t="e">
        <f>K64*[1]Parameters!$D$24*'[1]Collision Data '!$E$10</f>
        <v>#DIV/0!</v>
      </c>
      <c r="O64" s="53"/>
      <c r="P64" s="53"/>
    </row>
    <row r="65" spans="2:16" hidden="1" x14ac:dyDescent="0.25">
      <c r="B65" s="393">
        <v>2038</v>
      </c>
      <c r="C65" s="387">
        <v>12</v>
      </c>
      <c r="D65" s="142">
        <v>18</v>
      </c>
      <c r="E65" s="475">
        <f t="shared" si="8"/>
        <v>0</v>
      </c>
      <c r="F65" s="472" t="e">
        <f>ROUND((('[1]Collision Data '!B$7*$E65*365*'[1]Collision Data '!$B$58)/1000000),1)</f>
        <v>#DIV/0!</v>
      </c>
      <c r="G65" s="480" t="e">
        <f>ROUND((('[1]Collision Data '!C$7*$E65*365*'[1]Collision Data '!$B$58)/1000000),1)</f>
        <v>#DIV/0!</v>
      </c>
      <c r="H65" s="481" t="e">
        <f>ROUND((('[1]Collision Data '!D$7*$E65*365*'[1]Collision Data '!$B$58)/1000000),1)</f>
        <v>#DIV/0!</v>
      </c>
      <c r="I65" s="482" t="e">
        <f>ROUND(F65-(F65*'[1]Collision Data '!$B$18),1)</f>
        <v>#DIV/0!</v>
      </c>
      <c r="J65" s="480" t="e">
        <f>ROUND(G65-(G65*'[1]Collision Data '!$B$18),1)</f>
        <v>#DIV/0!</v>
      </c>
      <c r="K65" s="481" t="e">
        <f>ROUND(H65-(H65*'[1]Collision Data '!$B$18),2)</f>
        <v>#DIV/0!</v>
      </c>
      <c r="L65" s="483" t="e">
        <f>I65*[1]Parameters!$D$28*'[1]Collision Data '!$E$9</f>
        <v>#DIV/0!</v>
      </c>
      <c r="M65" s="484" t="e">
        <f>J65*[1]Parameters!$D$23*'[1]Collision Data '!$E$10</f>
        <v>#DIV/0!</v>
      </c>
      <c r="N65" s="485" t="e">
        <f>K65*[1]Parameters!$D$24*'[1]Collision Data '!$E$10</f>
        <v>#DIV/0!</v>
      </c>
      <c r="O65" s="53"/>
      <c r="P65" s="53"/>
    </row>
    <row r="66" spans="2:16" hidden="1" x14ac:dyDescent="0.25">
      <c r="B66" s="395">
        <v>2039</v>
      </c>
      <c r="C66" s="387">
        <v>13</v>
      </c>
      <c r="D66" s="142">
        <v>19</v>
      </c>
      <c r="E66" s="475">
        <f t="shared" si="8"/>
        <v>0</v>
      </c>
      <c r="F66" s="472" t="e">
        <f>ROUND((('[1]Collision Data '!B$7*$E66*365*'[1]Collision Data '!$B$58)/1000000),1)</f>
        <v>#DIV/0!</v>
      </c>
      <c r="G66" s="480" t="e">
        <f>ROUND((('[1]Collision Data '!C$7*$E66*365*'[1]Collision Data '!$B$58)/1000000),1)</f>
        <v>#DIV/0!</v>
      </c>
      <c r="H66" s="481" t="e">
        <f>ROUND((('[1]Collision Data '!D$7*$E66*365*'[1]Collision Data '!$B$58)/1000000),1)</f>
        <v>#DIV/0!</v>
      </c>
      <c r="I66" s="482" t="e">
        <f>ROUND(F66-(F66*'[1]Collision Data '!$B$18),1)</f>
        <v>#DIV/0!</v>
      </c>
      <c r="J66" s="480" t="e">
        <f>ROUND(G66-(G66*'[1]Collision Data '!$B$18),1)</f>
        <v>#DIV/0!</v>
      </c>
      <c r="K66" s="481" t="e">
        <f>ROUND(H66-(H66*'[1]Collision Data '!$B$18),2)</f>
        <v>#DIV/0!</v>
      </c>
      <c r="L66" s="483" t="e">
        <f>I66*[1]Parameters!$D$28*'[1]Collision Data '!$E$9</f>
        <v>#DIV/0!</v>
      </c>
      <c r="M66" s="484" t="e">
        <f>J66*[1]Parameters!$D$23*'[1]Collision Data '!$E$10</f>
        <v>#DIV/0!</v>
      </c>
      <c r="N66" s="485" t="e">
        <f>K66*[1]Parameters!$D$24*'[1]Collision Data '!$E$10</f>
        <v>#DIV/0!</v>
      </c>
      <c r="O66" s="53"/>
      <c r="P66" s="53"/>
    </row>
    <row r="67" spans="2:16" hidden="1" x14ac:dyDescent="0.25">
      <c r="B67" s="393">
        <v>2040</v>
      </c>
      <c r="C67" s="387">
        <v>14</v>
      </c>
      <c r="D67" s="142">
        <v>20</v>
      </c>
      <c r="E67" s="475">
        <f t="shared" si="8"/>
        <v>0</v>
      </c>
      <c r="F67" s="472" t="e">
        <f>ROUND((('[1]Collision Data '!B$7*$E67*365*'[1]Collision Data '!$B$58)/1000000),1)</f>
        <v>#DIV/0!</v>
      </c>
      <c r="G67" s="480" t="e">
        <f>ROUND((('[1]Collision Data '!C$7*$E67*365*'[1]Collision Data '!$B$58)/1000000),1)</f>
        <v>#DIV/0!</v>
      </c>
      <c r="H67" s="481" t="e">
        <f>ROUND((('[1]Collision Data '!D$7*$E67*365*'[1]Collision Data '!$B$58)/1000000),1)</f>
        <v>#DIV/0!</v>
      </c>
      <c r="I67" s="482" t="e">
        <f>ROUND(F67-(F67*'[1]Collision Data '!$B$18),1)</f>
        <v>#DIV/0!</v>
      </c>
      <c r="J67" s="480" t="e">
        <f>ROUND(G67-(G67*'[1]Collision Data '!$B$18),1)</f>
        <v>#DIV/0!</v>
      </c>
      <c r="K67" s="481" t="e">
        <f>ROUND(H67-(H67*'[1]Collision Data '!$B$18),2)</f>
        <v>#DIV/0!</v>
      </c>
      <c r="L67" s="483" t="e">
        <f>I67*[1]Parameters!$D$28*'[1]Collision Data '!$E$9</f>
        <v>#DIV/0!</v>
      </c>
      <c r="M67" s="484" t="e">
        <f>J67*[1]Parameters!$D$23*'[1]Collision Data '!$E$10</f>
        <v>#DIV/0!</v>
      </c>
      <c r="N67" s="485" t="e">
        <f>K67*[1]Parameters!$D$24*'[1]Collision Data '!$E$10</f>
        <v>#DIV/0!</v>
      </c>
      <c r="O67" s="53"/>
      <c r="P67" s="53"/>
    </row>
    <row r="68" spans="2:16" hidden="1" x14ac:dyDescent="0.25">
      <c r="B68" s="395">
        <v>2041</v>
      </c>
      <c r="C68" s="387">
        <v>15</v>
      </c>
      <c r="D68" s="142">
        <v>21</v>
      </c>
      <c r="E68" s="475">
        <f t="shared" si="8"/>
        <v>0</v>
      </c>
      <c r="F68" s="472" t="e">
        <f>ROUND((('[1]Collision Data '!B$7*$E68*365*'[1]Collision Data '!$B$58)/1000000),1)</f>
        <v>#DIV/0!</v>
      </c>
      <c r="G68" s="480" t="e">
        <f>ROUND((('[1]Collision Data '!C$7*$E68*365*'[1]Collision Data '!$B$58)/1000000),1)</f>
        <v>#DIV/0!</v>
      </c>
      <c r="H68" s="481" t="e">
        <f>ROUND((('[1]Collision Data '!D$7*$E68*365*'[1]Collision Data '!$B$58)/1000000),1)</f>
        <v>#DIV/0!</v>
      </c>
      <c r="I68" s="482" t="e">
        <f>ROUND(F68-(F68*'[1]Collision Data '!$B$18),1)</f>
        <v>#DIV/0!</v>
      </c>
      <c r="J68" s="480" t="e">
        <f>ROUND(G68-(G68*'[1]Collision Data '!$B$18),1)</f>
        <v>#DIV/0!</v>
      </c>
      <c r="K68" s="481" t="e">
        <f>ROUND(H68-(H68*'[1]Collision Data '!$B$18),2)</f>
        <v>#DIV/0!</v>
      </c>
      <c r="L68" s="483" t="e">
        <f>I68*[1]Parameters!$D$28*'[1]Collision Data '!$E$9</f>
        <v>#DIV/0!</v>
      </c>
      <c r="M68" s="484" t="e">
        <f>J68*[1]Parameters!$D$23*'[1]Collision Data '!$E$10</f>
        <v>#DIV/0!</v>
      </c>
      <c r="N68" s="485" t="e">
        <f>K68*[1]Parameters!$D$24*'[1]Collision Data '!$E$10</f>
        <v>#DIV/0!</v>
      </c>
      <c r="O68" s="53"/>
      <c r="P68" s="53"/>
    </row>
    <row r="69" spans="2:16" hidden="1" x14ac:dyDescent="0.25">
      <c r="B69" s="393">
        <v>2042</v>
      </c>
      <c r="C69" s="387">
        <v>16</v>
      </c>
      <c r="D69" s="142">
        <v>22</v>
      </c>
      <c r="E69" s="475">
        <f t="shared" si="8"/>
        <v>0</v>
      </c>
      <c r="F69" s="472" t="e">
        <f>ROUND((('[1]Collision Data '!B$7*$E69*365*'[1]Collision Data '!$B$58)/1000000),1)</f>
        <v>#DIV/0!</v>
      </c>
      <c r="G69" s="480" t="e">
        <f>ROUND((('[1]Collision Data '!C$7*$E69*365*'[1]Collision Data '!$B$58)/1000000),1)</f>
        <v>#DIV/0!</v>
      </c>
      <c r="H69" s="481" t="e">
        <f>ROUND((('[1]Collision Data '!D$7*$E69*365*'[1]Collision Data '!$B$58)/1000000),1)</f>
        <v>#DIV/0!</v>
      </c>
      <c r="I69" s="482" t="e">
        <f>ROUND(F69-(F69*'[1]Collision Data '!$B$18),1)</f>
        <v>#DIV/0!</v>
      </c>
      <c r="J69" s="480" t="e">
        <f>ROUND(G69-(G69*'[1]Collision Data '!$B$18),1)</f>
        <v>#DIV/0!</v>
      </c>
      <c r="K69" s="481" t="e">
        <f>ROUND(H69-(H69*'[1]Collision Data '!$B$18),2)</f>
        <v>#DIV/0!</v>
      </c>
      <c r="L69" s="483" t="e">
        <f>I69*[1]Parameters!$D$28*'[1]Collision Data '!$E$9</f>
        <v>#DIV/0!</v>
      </c>
      <c r="M69" s="484" t="e">
        <f>J69*[1]Parameters!$D$23*'[1]Collision Data '!$E$10</f>
        <v>#DIV/0!</v>
      </c>
      <c r="N69" s="485" t="e">
        <f>K69*[1]Parameters!$D$24*'[1]Collision Data '!$E$10</f>
        <v>#DIV/0!</v>
      </c>
      <c r="O69" s="53"/>
      <c r="P69" s="53"/>
    </row>
    <row r="70" spans="2:16" hidden="1" x14ac:dyDescent="0.25">
      <c r="B70" s="395">
        <v>2043</v>
      </c>
      <c r="C70" s="387">
        <v>17</v>
      </c>
      <c r="D70" s="142">
        <v>23</v>
      </c>
      <c r="E70" s="475">
        <f t="shared" si="8"/>
        <v>0</v>
      </c>
      <c r="F70" s="472" t="e">
        <f>ROUND((('[1]Collision Data '!B$7*$E70*365*'[1]Collision Data '!$B$58)/1000000),1)</f>
        <v>#DIV/0!</v>
      </c>
      <c r="G70" s="480" t="e">
        <f>ROUND((('[1]Collision Data '!C$7*$E70*365*'[1]Collision Data '!$B$58)/1000000),1)</f>
        <v>#DIV/0!</v>
      </c>
      <c r="H70" s="481" t="e">
        <f>ROUND((('[1]Collision Data '!D$7*$E70*365*'[1]Collision Data '!$B$58)/1000000),1)</f>
        <v>#DIV/0!</v>
      </c>
      <c r="I70" s="482" t="e">
        <f>ROUND(F70-(F70*'[1]Collision Data '!$B$18),1)</f>
        <v>#DIV/0!</v>
      </c>
      <c r="J70" s="480" t="e">
        <f>ROUND(G70-(G70*'[1]Collision Data '!$B$18),1)</f>
        <v>#DIV/0!</v>
      </c>
      <c r="K70" s="481" t="e">
        <f>ROUND(H70-(H70*'[1]Collision Data '!$B$18),2)</f>
        <v>#DIV/0!</v>
      </c>
      <c r="L70" s="483" t="e">
        <f>I70*[1]Parameters!$D$28*'[1]Collision Data '!$E$9</f>
        <v>#DIV/0!</v>
      </c>
      <c r="M70" s="484" t="e">
        <f>J70*[1]Parameters!$D$23*'[1]Collision Data '!$E$10</f>
        <v>#DIV/0!</v>
      </c>
      <c r="N70" s="485" t="e">
        <f>K70*[1]Parameters!$D$24*'[1]Collision Data '!$E$10</f>
        <v>#DIV/0!</v>
      </c>
      <c r="O70" s="53"/>
      <c r="P70" s="53"/>
    </row>
    <row r="71" spans="2:16" hidden="1" x14ac:dyDescent="0.25">
      <c r="B71" s="393">
        <v>2044</v>
      </c>
      <c r="C71" s="387">
        <v>18</v>
      </c>
      <c r="D71" s="142">
        <v>24</v>
      </c>
      <c r="E71" s="475">
        <f t="shared" si="8"/>
        <v>0</v>
      </c>
      <c r="F71" s="472" t="e">
        <f>ROUND((('[1]Collision Data '!B$7*$E71*365*'[1]Collision Data '!$B$58)/1000000),1)</f>
        <v>#DIV/0!</v>
      </c>
      <c r="G71" s="480" t="e">
        <f>ROUND((('[1]Collision Data '!C$7*$E71*365*'[1]Collision Data '!$B$58)/1000000),1)</f>
        <v>#DIV/0!</v>
      </c>
      <c r="H71" s="481" t="e">
        <f>ROUND((('[1]Collision Data '!D$7*$E71*365*'[1]Collision Data '!$B$58)/1000000),1)</f>
        <v>#DIV/0!</v>
      </c>
      <c r="I71" s="482" t="e">
        <f>ROUND(F71-(F71*'[1]Collision Data '!$B$18),1)</f>
        <v>#DIV/0!</v>
      </c>
      <c r="J71" s="480" t="e">
        <f>ROUND(G71-(G71*'[1]Collision Data '!$B$18),1)</f>
        <v>#DIV/0!</v>
      </c>
      <c r="K71" s="481" t="e">
        <f>ROUND(H71-(H71*'[1]Collision Data '!$B$18),2)</f>
        <v>#DIV/0!</v>
      </c>
      <c r="L71" s="483" t="e">
        <f>I71*[1]Parameters!$D$28*'[1]Collision Data '!$E$9</f>
        <v>#DIV/0!</v>
      </c>
      <c r="M71" s="484" t="e">
        <f>J71*[1]Parameters!$D$23*'[1]Collision Data '!$E$10</f>
        <v>#DIV/0!</v>
      </c>
      <c r="N71" s="485" t="e">
        <f>K71*[1]Parameters!$D$24*'[1]Collision Data '!$E$10</f>
        <v>#DIV/0!</v>
      </c>
      <c r="O71" s="53"/>
      <c r="P71" s="53"/>
    </row>
    <row r="72" spans="2:16" hidden="1" x14ac:dyDescent="0.25">
      <c r="B72" s="395">
        <v>2045</v>
      </c>
      <c r="C72" s="387">
        <v>19</v>
      </c>
      <c r="D72" s="142">
        <v>25</v>
      </c>
      <c r="E72" s="475">
        <f t="shared" si="8"/>
        <v>0</v>
      </c>
      <c r="F72" s="472" t="e">
        <f>ROUND((('[1]Collision Data '!B$7*$E72*365*'[1]Collision Data '!$B$58)/1000000),1)</f>
        <v>#DIV/0!</v>
      </c>
      <c r="G72" s="480" t="e">
        <f>ROUND((('[1]Collision Data '!C$7*$E72*365*'[1]Collision Data '!$B$58)/1000000),1)</f>
        <v>#DIV/0!</v>
      </c>
      <c r="H72" s="481" t="e">
        <f>ROUND((('[1]Collision Data '!D$7*$E72*365*'[1]Collision Data '!$B$58)/1000000),1)</f>
        <v>#DIV/0!</v>
      </c>
      <c r="I72" s="482" t="e">
        <f>ROUND(F72-(F72*'[1]Collision Data '!$B$18),1)</f>
        <v>#DIV/0!</v>
      </c>
      <c r="J72" s="480" t="e">
        <f>ROUND(G72-(G72*'[1]Collision Data '!$B$18),1)</f>
        <v>#DIV/0!</v>
      </c>
      <c r="K72" s="481" t="e">
        <f>ROUND(H72-(H72*'[1]Collision Data '!$B$18),2)</f>
        <v>#DIV/0!</v>
      </c>
      <c r="L72" s="483" t="e">
        <f>I72*[1]Parameters!$D$28*'[1]Collision Data '!$E$9</f>
        <v>#DIV/0!</v>
      </c>
      <c r="M72" s="484" t="e">
        <f>J72*[1]Parameters!$D$23*'[1]Collision Data '!$E$10</f>
        <v>#DIV/0!</v>
      </c>
      <c r="N72" s="485" t="e">
        <f>K72*[1]Parameters!$D$24*'[1]Collision Data '!$E$10</f>
        <v>#DIV/0!</v>
      </c>
      <c r="O72" s="53"/>
      <c r="P72" s="53"/>
    </row>
    <row r="73" spans="2:16" hidden="1" x14ac:dyDescent="0.25">
      <c r="B73" s="393">
        <v>2046</v>
      </c>
      <c r="C73" s="387">
        <v>20</v>
      </c>
      <c r="D73" s="142">
        <v>26</v>
      </c>
      <c r="E73" s="475">
        <f t="shared" si="8"/>
        <v>0</v>
      </c>
      <c r="F73" s="472" t="e">
        <f>ROUND((('[1]Collision Data '!B$7*$E73*365*'[1]Collision Data '!$B$58)/1000000),1)</f>
        <v>#DIV/0!</v>
      </c>
      <c r="G73" s="480" t="e">
        <f>ROUND((('[1]Collision Data '!C$7*$E73*365*'[1]Collision Data '!$B$58)/1000000),1)</f>
        <v>#DIV/0!</v>
      </c>
      <c r="H73" s="481" t="e">
        <f>ROUND((('[1]Collision Data '!D$7*$E73*365*'[1]Collision Data '!$B$58)/1000000),1)</f>
        <v>#DIV/0!</v>
      </c>
      <c r="I73" s="482" t="e">
        <f>ROUND(F73-(F73*'[1]Collision Data '!$B$18),1)</f>
        <v>#DIV/0!</v>
      </c>
      <c r="J73" s="480" t="e">
        <f>ROUND(G73-(G73*'[1]Collision Data '!$B$18),1)</f>
        <v>#DIV/0!</v>
      </c>
      <c r="K73" s="481" t="e">
        <f>ROUND(H73-(H73*'[1]Collision Data '!$B$18),2)</f>
        <v>#DIV/0!</v>
      </c>
      <c r="L73" s="483" t="e">
        <f>I73*[1]Parameters!$D$28*'[1]Collision Data '!$E$9</f>
        <v>#DIV/0!</v>
      </c>
      <c r="M73" s="484" t="e">
        <f>J73*[1]Parameters!$D$23*'[1]Collision Data '!$E$10</f>
        <v>#DIV/0!</v>
      </c>
      <c r="N73" s="485" t="e">
        <f>K73*[1]Parameters!$D$24*'[1]Collision Data '!$E$10</f>
        <v>#DIV/0!</v>
      </c>
      <c r="O73" s="53"/>
      <c r="P73" s="53"/>
    </row>
    <row r="74" spans="2:16" hidden="1" x14ac:dyDescent="0.25">
      <c r="B74" s="391">
        <v>2047</v>
      </c>
      <c r="C74" s="385">
        <v>21</v>
      </c>
      <c r="D74" s="140">
        <v>27</v>
      </c>
      <c r="E74" s="422">
        <f t="shared" si="8"/>
        <v>0</v>
      </c>
      <c r="F74" s="172" t="e">
        <f>ROUND((('[1]Collision Data '!B$7*$E74*365*'[1]Collision Data '!$B$58)/1000000),1)</f>
        <v>#DIV/0!</v>
      </c>
      <c r="G74" s="69" t="e">
        <f>ROUND((('[1]Collision Data '!C$7*$E74*365*'[1]Collision Data '!$B$58)/1000000),1)</f>
        <v>#DIV/0!</v>
      </c>
      <c r="H74" s="71" t="e">
        <f>ROUND((('[1]Collision Data '!D$7*$E74*365*'[1]Collision Data '!$B$58)/1000000),1)</f>
        <v>#DIV/0!</v>
      </c>
      <c r="I74" s="173" t="e">
        <f>ROUND(F74-(F74*'[1]Collision Data '!$B$18),1)</f>
        <v>#DIV/0!</v>
      </c>
      <c r="J74" s="69" t="e">
        <f>ROUND(G74-(G74*'[1]Collision Data '!$B$18),1)</f>
        <v>#DIV/0!</v>
      </c>
      <c r="K74" s="71" t="e">
        <f>ROUND(H74-(H74*'[1]Collision Data '!$B$18),2)</f>
        <v>#DIV/0!</v>
      </c>
      <c r="L74" s="150" t="e">
        <f>I74*[1]Parameters!$D$28*'[1]Collision Data '!$E$9</f>
        <v>#DIV/0!</v>
      </c>
      <c r="M74" s="145" t="e">
        <f>J74*[1]Parameters!$D$23*'[1]Collision Data '!$E$10</f>
        <v>#DIV/0!</v>
      </c>
      <c r="N74" s="162" t="e">
        <f>K74*[1]Parameters!$D$24*'[1]Collision Data '!$E$10</f>
        <v>#DIV/0!</v>
      </c>
      <c r="O74" s="53"/>
      <c r="P74" s="53"/>
    </row>
    <row r="75" spans="2:16" hidden="1" x14ac:dyDescent="0.25">
      <c r="B75" s="393">
        <v>2048</v>
      </c>
      <c r="C75" s="387">
        <v>22</v>
      </c>
      <c r="D75" s="142">
        <v>28</v>
      </c>
      <c r="E75" s="475">
        <f t="shared" si="8"/>
        <v>0</v>
      </c>
      <c r="F75" s="472" t="e">
        <f>ROUND((('[1]Collision Data '!B$7*$E75*365*'[1]Collision Data '!$B$58)/1000000),1)</f>
        <v>#DIV/0!</v>
      </c>
      <c r="G75" s="480" t="e">
        <f>ROUND((('[1]Collision Data '!C$7*$E75*365*'[1]Collision Data '!$B$58)/1000000),1)</f>
        <v>#DIV/0!</v>
      </c>
      <c r="H75" s="481" t="e">
        <f>ROUND((('[1]Collision Data '!D$7*$E75*365*'[1]Collision Data '!$B$58)/1000000),1)</f>
        <v>#DIV/0!</v>
      </c>
      <c r="I75" s="482" t="e">
        <f>ROUND(F75-(F75*'[1]Collision Data '!$B$18),1)</f>
        <v>#DIV/0!</v>
      </c>
      <c r="J75" s="480" t="e">
        <f>ROUND(G75-(G75*'[1]Collision Data '!$B$18),1)</f>
        <v>#DIV/0!</v>
      </c>
      <c r="K75" s="481" t="e">
        <f>ROUND(H75-(H75*'[1]Collision Data '!$B$18),2)</f>
        <v>#DIV/0!</v>
      </c>
      <c r="L75" s="483" t="e">
        <f>I75*[1]Parameters!$D$28*'[1]Collision Data '!$E$9</f>
        <v>#DIV/0!</v>
      </c>
      <c r="M75" s="484" t="e">
        <f>J75*[1]Parameters!$D$23*'[1]Collision Data '!$E$10</f>
        <v>#DIV/0!</v>
      </c>
      <c r="N75" s="485" t="e">
        <f>K75*[1]Parameters!$D$24*'[1]Collision Data '!$E$10</f>
        <v>#DIV/0!</v>
      </c>
      <c r="O75" s="53"/>
      <c r="P75" s="53"/>
    </row>
    <row r="76" spans="2:16" hidden="1" x14ac:dyDescent="0.25">
      <c r="B76" s="395">
        <v>2049</v>
      </c>
      <c r="C76" s="387">
        <v>23</v>
      </c>
      <c r="D76" s="142">
        <v>29</v>
      </c>
      <c r="E76" s="475">
        <f t="shared" si="8"/>
        <v>0</v>
      </c>
      <c r="F76" s="472" t="e">
        <f>ROUND((('[1]Collision Data '!B$7*$E76*365*'[1]Collision Data '!$B$58)/1000000),1)</f>
        <v>#DIV/0!</v>
      </c>
      <c r="G76" s="480" t="e">
        <f>ROUND((('[1]Collision Data '!C$7*$E76*365*'[1]Collision Data '!$B$58)/1000000),1)</f>
        <v>#DIV/0!</v>
      </c>
      <c r="H76" s="481" t="e">
        <f>ROUND((('[1]Collision Data '!D$7*$E76*365*'[1]Collision Data '!$B$58)/1000000),1)</f>
        <v>#DIV/0!</v>
      </c>
      <c r="I76" s="482" t="e">
        <f>ROUND(F76-(F76*'[1]Collision Data '!$B$18),1)</f>
        <v>#DIV/0!</v>
      </c>
      <c r="J76" s="480" t="e">
        <f>ROUND(G76-(G76*'[1]Collision Data '!$B$18),1)</f>
        <v>#DIV/0!</v>
      </c>
      <c r="K76" s="481" t="e">
        <f>ROUND(H76-(H76*'[1]Collision Data '!$B$18),2)</f>
        <v>#DIV/0!</v>
      </c>
      <c r="L76" s="483" t="e">
        <f>I76*[1]Parameters!$D$28*'[1]Collision Data '!$E$9</f>
        <v>#DIV/0!</v>
      </c>
      <c r="M76" s="484" t="e">
        <f>J76*[1]Parameters!$D$23*'[1]Collision Data '!$E$10</f>
        <v>#DIV/0!</v>
      </c>
      <c r="N76" s="485" t="e">
        <f>K76*[1]Parameters!$D$24*'[1]Collision Data '!$E$10</f>
        <v>#DIV/0!</v>
      </c>
      <c r="O76" s="53"/>
      <c r="P76" s="53"/>
    </row>
    <row r="77" spans="2:16" hidden="1" x14ac:dyDescent="0.25">
      <c r="B77" s="393">
        <v>2050</v>
      </c>
      <c r="C77" s="387">
        <v>24</v>
      </c>
      <c r="D77" s="142">
        <v>30</v>
      </c>
      <c r="E77" s="475">
        <f t="shared" si="8"/>
        <v>0</v>
      </c>
      <c r="F77" s="472" t="e">
        <f>ROUND((('[1]Collision Data '!B$7*$E77*365*'[1]Collision Data '!$B$58)/1000000),1)</f>
        <v>#DIV/0!</v>
      </c>
      <c r="G77" s="480" t="e">
        <f>ROUND((('[1]Collision Data '!C$7*$E77*365*'[1]Collision Data '!$B$58)/1000000),1)</f>
        <v>#DIV/0!</v>
      </c>
      <c r="H77" s="481" t="e">
        <f>ROUND((('[1]Collision Data '!D$7*$E77*365*'[1]Collision Data '!$B$58)/1000000),1)</f>
        <v>#DIV/0!</v>
      </c>
      <c r="I77" s="482" t="e">
        <f>ROUND(F77-(F77*'[1]Collision Data '!$B$18),1)</f>
        <v>#DIV/0!</v>
      </c>
      <c r="J77" s="480" t="e">
        <f>ROUND(G77-(G77*'[1]Collision Data '!$B$18),1)</f>
        <v>#DIV/0!</v>
      </c>
      <c r="K77" s="481" t="e">
        <f>ROUND(H77-(H77*'[1]Collision Data '!$B$18),2)</f>
        <v>#DIV/0!</v>
      </c>
      <c r="L77" s="483" t="e">
        <f>I77*[1]Parameters!$D$28*'[1]Collision Data '!$E$9</f>
        <v>#DIV/0!</v>
      </c>
      <c r="M77" s="484" t="e">
        <f>J77*[1]Parameters!$D$23*'[1]Collision Data '!$E$10</f>
        <v>#DIV/0!</v>
      </c>
      <c r="N77" s="485" t="e">
        <f>K77*[1]Parameters!$D$24*'[1]Collision Data '!$E$10</f>
        <v>#DIV/0!</v>
      </c>
      <c r="O77" s="53"/>
      <c r="P77" s="53"/>
    </row>
    <row r="78" spans="2:16" hidden="1" x14ac:dyDescent="0.25">
      <c r="B78" s="395">
        <v>2051</v>
      </c>
      <c r="C78" s="387">
        <v>25</v>
      </c>
      <c r="D78" s="142">
        <v>31</v>
      </c>
      <c r="E78" s="475">
        <f t="shared" si="8"/>
        <v>0</v>
      </c>
      <c r="F78" s="472" t="e">
        <f>ROUND((('[1]Collision Data '!B$7*$E78*365*'[1]Collision Data '!$B$58)/1000000),1)</f>
        <v>#DIV/0!</v>
      </c>
      <c r="G78" s="480" t="e">
        <f>ROUND((('[1]Collision Data '!C$7*$E78*365*'[1]Collision Data '!$B$58)/1000000),1)</f>
        <v>#DIV/0!</v>
      </c>
      <c r="H78" s="481" t="e">
        <f>ROUND((('[1]Collision Data '!D$7*$E78*365*'[1]Collision Data '!$B$58)/1000000),1)</f>
        <v>#DIV/0!</v>
      </c>
      <c r="I78" s="482" t="e">
        <f>ROUND(F78-(F78*'[1]Collision Data '!$B$18),1)</f>
        <v>#DIV/0!</v>
      </c>
      <c r="J78" s="480" t="e">
        <f>ROUND(G78-(G78*'[1]Collision Data '!$B$18),1)</f>
        <v>#DIV/0!</v>
      </c>
      <c r="K78" s="481" t="e">
        <f>ROUND(H78-(H78*'[1]Collision Data '!$B$18),2)</f>
        <v>#DIV/0!</v>
      </c>
      <c r="L78" s="483" t="e">
        <f>I78*[1]Parameters!$D$28*'[1]Collision Data '!$E$9</f>
        <v>#DIV/0!</v>
      </c>
      <c r="M78" s="484" t="e">
        <f>J78*[1]Parameters!$D$23*'[1]Collision Data '!$E$10</f>
        <v>#DIV/0!</v>
      </c>
      <c r="N78" s="485" t="e">
        <f>K78*[1]Parameters!$D$24*'[1]Collision Data '!$E$10</f>
        <v>#DIV/0!</v>
      </c>
      <c r="O78" s="53"/>
      <c r="P78" s="53"/>
    </row>
    <row r="79" spans="2:16" hidden="1" x14ac:dyDescent="0.25">
      <c r="B79" s="393">
        <v>2052</v>
      </c>
      <c r="C79" s="387">
        <v>26</v>
      </c>
      <c r="D79" s="142">
        <v>32</v>
      </c>
      <c r="E79" s="475">
        <f t="shared" si="8"/>
        <v>0</v>
      </c>
      <c r="F79" s="472" t="e">
        <f>ROUND((('[1]Collision Data '!B$7*$E79*365*'[1]Collision Data '!$B$58)/1000000),1)</f>
        <v>#DIV/0!</v>
      </c>
      <c r="G79" s="480" t="e">
        <f>ROUND((('[1]Collision Data '!C$7*$E79*365*'[1]Collision Data '!$B$58)/1000000),1)</f>
        <v>#DIV/0!</v>
      </c>
      <c r="H79" s="481" t="e">
        <f>ROUND((('[1]Collision Data '!D$7*$E79*365*'[1]Collision Data '!$B$58)/1000000),1)</f>
        <v>#DIV/0!</v>
      </c>
      <c r="I79" s="482" t="e">
        <f>ROUND(F79-(F79*'[1]Collision Data '!$B$18),1)</f>
        <v>#DIV/0!</v>
      </c>
      <c r="J79" s="480" t="e">
        <f>ROUND(G79-(G79*'[1]Collision Data '!$B$18),1)</f>
        <v>#DIV/0!</v>
      </c>
      <c r="K79" s="481" t="e">
        <f>ROUND(H79-(H79*'[1]Collision Data '!$B$18),2)</f>
        <v>#DIV/0!</v>
      </c>
      <c r="L79" s="483" t="e">
        <f>I79*[1]Parameters!$D$28*'[1]Collision Data '!$E$9</f>
        <v>#DIV/0!</v>
      </c>
      <c r="M79" s="484" t="e">
        <f>J79*[1]Parameters!$D$23*'[1]Collision Data '!$E$10</f>
        <v>#DIV/0!</v>
      </c>
      <c r="N79" s="485" t="e">
        <f>K79*[1]Parameters!$D$24*'[1]Collision Data '!$E$10</f>
        <v>#DIV/0!</v>
      </c>
      <c r="O79" s="53"/>
      <c r="P79" s="53"/>
    </row>
    <row r="80" spans="2:16" hidden="1" x14ac:dyDescent="0.25">
      <c r="B80" s="395">
        <v>2053</v>
      </c>
      <c r="C80" s="387">
        <v>27</v>
      </c>
      <c r="D80" s="142">
        <v>33</v>
      </c>
      <c r="E80" s="475">
        <f t="shared" si="8"/>
        <v>0</v>
      </c>
      <c r="F80" s="472" t="e">
        <f>ROUND((('[1]Collision Data '!B$7*$E80*365*'[1]Collision Data '!$B$58)/1000000),1)</f>
        <v>#DIV/0!</v>
      </c>
      <c r="G80" s="480" t="e">
        <f>ROUND((('[1]Collision Data '!C$7*$E80*365*'[1]Collision Data '!$B$58)/1000000),1)</f>
        <v>#DIV/0!</v>
      </c>
      <c r="H80" s="481" t="e">
        <f>ROUND((('[1]Collision Data '!D$7*$E80*365*'[1]Collision Data '!$B$58)/1000000),1)</f>
        <v>#DIV/0!</v>
      </c>
      <c r="I80" s="482" t="e">
        <f>ROUND(F80-(F80*'[1]Collision Data '!$B$18),1)</f>
        <v>#DIV/0!</v>
      </c>
      <c r="J80" s="480" t="e">
        <f>ROUND(G80-(G80*'[1]Collision Data '!$B$18),1)</f>
        <v>#DIV/0!</v>
      </c>
      <c r="K80" s="481" t="e">
        <f>ROUND(H80-(H80*'[1]Collision Data '!$B$18),2)</f>
        <v>#DIV/0!</v>
      </c>
      <c r="L80" s="483" t="e">
        <f>I80*[1]Parameters!$D$28*'[1]Collision Data '!$E$9</f>
        <v>#DIV/0!</v>
      </c>
      <c r="M80" s="484" t="e">
        <f>J80*[1]Parameters!$D$23*'[1]Collision Data '!$E$10</f>
        <v>#DIV/0!</v>
      </c>
      <c r="N80" s="485" t="e">
        <f>K80*[1]Parameters!$D$24*'[1]Collision Data '!$E$10</f>
        <v>#DIV/0!</v>
      </c>
      <c r="O80" s="53"/>
      <c r="P80" s="53"/>
    </row>
    <row r="81" spans="2:16" hidden="1" x14ac:dyDescent="0.25">
      <c r="B81" s="393">
        <v>2054</v>
      </c>
      <c r="C81" s="387">
        <v>28</v>
      </c>
      <c r="D81" s="142">
        <v>34</v>
      </c>
      <c r="E81" s="475">
        <f t="shared" si="8"/>
        <v>0</v>
      </c>
      <c r="F81" s="472" t="e">
        <f>ROUND((('[1]Collision Data '!B$7*$E81*365*'[1]Collision Data '!$B$58)/1000000),1)</f>
        <v>#DIV/0!</v>
      </c>
      <c r="G81" s="480" t="e">
        <f>ROUND((('[1]Collision Data '!C$7*$E81*365*'[1]Collision Data '!$B$58)/1000000),1)</f>
        <v>#DIV/0!</v>
      </c>
      <c r="H81" s="481" t="e">
        <f>ROUND((('[1]Collision Data '!D$7*$E81*365*'[1]Collision Data '!$B$58)/1000000),1)</f>
        <v>#DIV/0!</v>
      </c>
      <c r="I81" s="482" t="e">
        <f>ROUND(F81-(F81*'[1]Collision Data '!$B$18),1)</f>
        <v>#DIV/0!</v>
      </c>
      <c r="J81" s="480" t="e">
        <f>ROUND(G81-(G81*'[1]Collision Data '!$B$18),1)</f>
        <v>#DIV/0!</v>
      </c>
      <c r="K81" s="481" t="e">
        <f>ROUND(H81-(H81*'[1]Collision Data '!$B$18),2)</f>
        <v>#DIV/0!</v>
      </c>
      <c r="L81" s="483" t="e">
        <f>I81*[1]Parameters!$D$28*'[1]Collision Data '!$E$9</f>
        <v>#DIV/0!</v>
      </c>
      <c r="M81" s="484" t="e">
        <f>J81*[1]Parameters!$D$23*'[1]Collision Data '!$E$10</f>
        <v>#DIV/0!</v>
      </c>
      <c r="N81" s="485" t="e">
        <f>K81*[1]Parameters!$D$24*'[1]Collision Data '!$E$10</f>
        <v>#DIV/0!</v>
      </c>
      <c r="O81" s="53"/>
      <c r="P81" s="53"/>
    </row>
    <row r="82" spans="2:16" hidden="1" x14ac:dyDescent="0.25">
      <c r="B82" s="395">
        <v>2055</v>
      </c>
      <c r="C82" s="387">
        <v>29</v>
      </c>
      <c r="D82" s="142">
        <v>35</v>
      </c>
      <c r="E82" s="475">
        <f t="shared" si="8"/>
        <v>0</v>
      </c>
      <c r="F82" s="472" t="e">
        <f>ROUND((('[1]Collision Data '!B$7*$E82*365*'[1]Collision Data '!$B$58)/1000000),1)</f>
        <v>#DIV/0!</v>
      </c>
      <c r="G82" s="480" t="e">
        <f>ROUND((('[1]Collision Data '!C$7*$E82*365*'[1]Collision Data '!$B$58)/1000000),1)</f>
        <v>#DIV/0!</v>
      </c>
      <c r="H82" s="481" t="e">
        <f>ROUND((('[1]Collision Data '!D$7*$E82*365*'[1]Collision Data '!$B$58)/1000000),1)</f>
        <v>#DIV/0!</v>
      </c>
      <c r="I82" s="482" t="e">
        <f>ROUND(F82-(F82*'[1]Collision Data '!$B$18),1)</f>
        <v>#DIV/0!</v>
      </c>
      <c r="J82" s="480" t="e">
        <f>ROUND(G82-(G82*'[1]Collision Data '!$B$18),1)</f>
        <v>#DIV/0!</v>
      </c>
      <c r="K82" s="481" t="e">
        <f>ROUND(H82-(H82*'[1]Collision Data '!$B$18),2)</f>
        <v>#DIV/0!</v>
      </c>
      <c r="L82" s="483" t="e">
        <f>I82*[1]Parameters!$D$28*'[1]Collision Data '!$E$9</f>
        <v>#DIV/0!</v>
      </c>
      <c r="M82" s="484" t="e">
        <f>J82*[1]Parameters!$D$23*'[1]Collision Data '!$E$10</f>
        <v>#DIV/0!</v>
      </c>
      <c r="N82" s="485" t="e">
        <f>K82*[1]Parameters!$D$24*'[1]Collision Data '!$E$10</f>
        <v>#DIV/0!</v>
      </c>
      <c r="O82" s="53"/>
      <c r="P82" s="53"/>
    </row>
    <row r="83" spans="2:16" hidden="1" x14ac:dyDescent="0.25">
      <c r="B83" s="393">
        <v>2056</v>
      </c>
      <c r="C83" s="387">
        <v>30</v>
      </c>
      <c r="D83" s="142">
        <v>36</v>
      </c>
      <c r="E83" s="475">
        <f t="shared" si="8"/>
        <v>0</v>
      </c>
      <c r="F83" s="472" t="e">
        <f>ROUND((('[1]Collision Data '!B$7*$E83*365*'[1]Collision Data '!$B$58)/1000000),1)</f>
        <v>#DIV/0!</v>
      </c>
      <c r="G83" s="480" t="e">
        <f>ROUND((('[1]Collision Data '!C$7*$E83*365*'[1]Collision Data '!$B$58)/1000000),1)</f>
        <v>#DIV/0!</v>
      </c>
      <c r="H83" s="481" t="e">
        <f>ROUND((('[1]Collision Data '!D$7*$E83*365*'[1]Collision Data '!$B$58)/1000000),1)</f>
        <v>#DIV/0!</v>
      </c>
      <c r="I83" s="482" t="e">
        <f>ROUND(F83-(F83*'[1]Collision Data '!$B$18),1)</f>
        <v>#DIV/0!</v>
      </c>
      <c r="J83" s="480" t="e">
        <f>ROUND(G83-(G83*'[1]Collision Data '!$B$18),1)</f>
        <v>#DIV/0!</v>
      </c>
      <c r="K83" s="481" t="e">
        <f>ROUND(H83-(H83*'[1]Collision Data '!$B$18),2)</f>
        <v>#DIV/0!</v>
      </c>
      <c r="L83" s="483" t="e">
        <f>I83*[1]Parameters!$D$28*'[1]Collision Data '!$E$9</f>
        <v>#DIV/0!</v>
      </c>
      <c r="M83" s="484" t="e">
        <f>J83*[1]Parameters!$D$23*'[1]Collision Data '!$E$10</f>
        <v>#DIV/0!</v>
      </c>
      <c r="N83" s="485" t="e">
        <f>K83*[1]Parameters!$D$24*'[1]Collision Data '!$E$10</f>
        <v>#DIV/0!</v>
      </c>
      <c r="O83" s="53"/>
      <c r="P83" s="53"/>
    </row>
    <row r="84" spans="2:16" ht="15.75" hidden="1" thickBot="1" x14ac:dyDescent="0.3">
      <c r="B84" s="397">
        <v>2057</v>
      </c>
      <c r="C84" s="398">
        <v>31</v>
      </c>
      <c r="D84" s="143">
        <v>37</v>
      </c>
      <c r="E84" s="477">
        <f t="shared" si="8"/>
        <v>0</v>
      </c>
      <c r="F84" s="486" t="e">
        <f>ROUND((('[1]Collision Data '!B$7*$E84*365*'[1]Collision Data '!$B$58)/1000000),1)</f>
        <v>#DIV/0!</v>
      </c>
      <c r="G84" s="487" t="e">
        <f>ROUND((('[1]Collision Data '!C$7*$E84*365*'[1]Collision Data '!$B$58)/1000000),1)</f>
        <v>#DIV/0!</v>
      </c>
      <c r="H84" s="488" t="e">
        <f>ROUND((('[1]Collision Data '!D$7*$E84*365*'[1]Collision Data '!$B$58)/1000000),1)</f>
        <v>#DIV/0!</v>
      </c>
      <c r="I84" s="489" t="e">
        <f>ROUND(F84-(F84*'[1]Collision Data '!$B$18),1)</f>
        <v>#DIV/0!</v>
      </c>
      <c r="J84" s="487" t="e">
        <f>ROUND(G84-(G84*'[1]Collision Data '!$B$18),1)</f>
        <v>#DIV/0!</v>
      </c>
      <c r="K84" s="488" t="e">
        <f>ROUND(H84-(H84*'[1]Collision Data '!$B$18),2)</f>
        <v>#DIV/0!</v>
      </c>
      <c r="L84" s="490" t="e">
        <f>I84*[1]Parameters!$D$28*'[1]Collision Data '!$E$9</f>
        <v>#DIV/0!</v>
      </c>
      <c r="M84" s="491" t="e">
        <f>J84*[1]Parameters!$D$23*'[1]Collision Data '!$E$10</f>
        <v>#DIV/0!</v>
      </c>
      <c r="N84" s="492" t="e">
        <f>K84*[1]Parameters!$D$24*'[1]Collision Data '!$E$10</f>
        <v>#DIV/0!</v>
      </c>
      <c r="O84" s="53"/>
      <c r="P84" s="53"/>
    </row>
    <row r="85" spans="2:16" ht="15.75" hidden="1" thickBot="1" x14ac:dyDescent="0.3">
      <c r="F85" s="306" t="e">
        <f>SUM(F48:F84)</f>
        <v>#DIV/0!</v>
      </c>
      <c r="G85" s="306" t="e">
        <f t="shared" ref="G85:K85" si="9">SUM(G48:G84)</f>
        <v>#DIV/0!</v>
      </c>
      <c r="H85" s="306" t="e">
        <f t="shared" si="9"/>
        <v>#DIV/0!</v>
      </c>
      <c r="I85" s="306" t="e">
        <f t="shared" si="9"/>
        <v>#DIV/0!</v>
      </c>
      <c r="J85" s="306" t="e">
        <f t="shared" si="9"/>
        <v>#DIV/0!</v>
      </c>
      <c r="K85" s="306" t="e">
        <f t="shared" si="9"/>
        <v>#DIV/0!</v>
      </c>
      <c r="L85" s="5" t="e">
        <f>SUM(L48:L84)</f>
        <v>#DIV/0!</v>
      </c>
      <c r="M85" s="8" t="e">
        <f>SUM(M48:M84)</f>
        <v>#DIV/0!</v>
      </c>
      <c r="N85" s="4" t="e">
        <f>SUM(N48:N84)</f>
        <v>#DIV/0!</v>
      </c>
      <c r="O85" s="493"/>
      <c r="P85" s="493"/>
    </row>
    <row r="86" spans="2:16" hidden="1" x14ac:dyDescent="0.25">
      <c r="F86" s="306"/>
      <c r="G86" s="306"/>
      <c r="H86" s="306"/>
      <c r="I86" s="306" t="e">
        <f>F85-I85</f>
        <v>#DIV/0!</v>
      </c>
      <c r="J86" s="306" t="e">
        <f>G85-J85</f>
        <v>#DIV/0!</v>
      </c>
      <c r="K86" s="306" t="e">
        <f t="shared" ref="K86" si="10">H85-K85</f>
        <v>#DIV/0!</v>
      </c>
      <c r="L86" s="493"/>
      <c r="M86" s="493"/>
      <c r="N86" s="493"/>
      <c r="O86" s="493"/>
      <c r="P86" s="493"/>
    </row>
    <row r="87" spans="2:16" hidden="1" x14ac:dyDescent="0.25">
      <c r="B87" s="18" t="s">
        <v>140</v>
      </c>
      <c r="I87" s="60"/>
    </row>
    <row r="88" spans="2:16" ht="15" hidden="1" customHeight="1" x14ac:dyDescent="0.25">
      <c r="B88" s="574" t="s">
        <v>1</v>
      </c>
      <c r="C88" s="576" t="s">
        <v>2</v>
      </c>
      <c r="D88" s="576" t="s">
        <v>22</v>
      </c>
      <c r="E88" s="584" t="s">
        <v>47</v>
      </c>
      <c r="F88" s="580" t="s">
        <v>48</v>
      </c>
      <c r="G88" s="573"/>
      <c r="H88" s="567"/>
      <c r="I88" s="580" t="s">
        <v>50</v>
      </c>
      <c r="J88" s="573"/>
      <c r="K88" s="567"/>
      <c r="L88" s="566" t="s">
        <v>136</v>
      </c>
      <c r="M88" s="573"/>
      <c r="N88" s="567"/>
      <c r="O88" s="18"/>
      <c r="P88" s="18"/>
    </row>
    <row r="89" spans="2:16" ht="15.75" hidden="1" thickBot="1" x14ac:dyDescent="0.3">
      <c r="B89" s="575"/>
      <c r="C89" s="577"/>
      <c r="D89" s="577"/>
      <c r="E89" s="585"/>
      <c r="F89" s="380" t="s">
        <v>35</v>
      </c>
      <c r="G89" s="381" t="s">
        <v>36</v>
      </c>
      <c r="H89" s="382" t="s">
        <v>37</v>
      </c>
      <c r="I89" s="380" t="s">
        <v>35</v>
      </c>
      <c r="J89" s="381" t="s">
        <v>36</v>
      </c>
      <c r="K89" s="382" t="s">
        <v>37</v>
      </c>
      <c r="L89" s="405" t="s">
        <v>35</v>
      </c>
      <c r="M89" s="381" t="s">
        <v>36</v>
      </c>
      <c r="N89" s="382" t="s">
        <v>37</v>
      </c>
      <c r="O89" s="474"/>
      <c r="P89" s="474"/>
    </row>
    <row r="90" spans="2:16" hidden="1" x14ac:dyDescent="0.25">
      <c r="B90" s="101">
        <v>2021</v>
      </c>
      <c r="C90" s="102">
        <v>0</v>
      </c>
      <c r="D90" s="138">
        <v>1</v>
      </c>
      <c r="E90" s="163">
        <f t="shared" ref="E90:E95" si="11">$E$96*(1+0.005)^(B90-$B$96)</f>
        <v>0</v>
      </c>
      <c r="F90" s="164" t="e">
        <f>(('[1]Collision Data '!B$8*$E90*1*365)/1000000)</f>
        <v>#DIV/0!</v>
      </c>
      <c r="G90" s="165" t="e">
        <f>(('[1]Collision Data '!C$8*$E90*1*365)/1000000)</f>
        <v>#DIV/0!</v>
      </c>
      <c r="H90" s="166" t="e">
        <f>(('[1]Collision Data '!D$8*$E90*1*365)/1000000)</f>
        <v>#DIV/0!</v>
      </c>
      <c r="I90" s="167">
        <v>0</v>
      </c>
      <c r="J90" s="168">
        <v>0</v>
      </c>
      <c r="K90" s="169">
        <v>0</v>
      </c>
      <c r="L90" s="438">
        <f>I90*[1]Parameters!$D$28*'[1]Collision Data '!$E$9</f>
        <v>0</v>
      </c>
      <c r="M90" s="437">
        <f>J90*[1]Parameters!$D$23*'[1]Collision Data '!$E$10</f>
        <v>0</v>
      </c>
      <c r="N90" s="170">
        <f>K90*[1]Parameters!$D$24*'[1]Collision Data '!$E$10</f>
        <v>0</v>
      </c>
      <c r="O90" s="53"/>
      <c r="P90" s="53"/>
    </row>
    <row r="91" spans="2:16" hidden="1" x14ac:dyDescent="0.25">
      <c r="B91" s="389">
        <v>2022</v>
      </c>
      <c r="C91" s="384">
        <v>0</v>
      </c>
      <c r="D91" s="139">
        <v>2</v>
      </c>
      <c r="E91" s="421">
        <f t="shared" si="11"/>
        <v>0</v>
      </c>
      <c r="F91" s="410" t="e">
        <f>(('[1]Collision Data '!B$8*$E91*1*365)/1000000)</f>
        <v>#DIV/0!</v>
      </c>
      <c r="G91" s="406" t="e">
        <f>(('[1]Collision Data '!C$8*$E91*1*365)/1000000)</f>
        <v>#DIV/0!</v>
      </c>
      <c r="H91" s="411" t="e">
        <f>(('[1]Collision Data '!D$8*$E91*1*365)/1000000)</f>
        <v>#DIV/0!</v>
      </c>
      <c r="I91" s="431">
        <v>0</v>
      </c>
      <c r="J91" s="415">
        <v>0</v>
      </c>
      <c r="K91" s="414">
        <v>0</v>
      </c>
      <c r="L91" s="149">
        <f>I91*[1]Parameters!$D$28*'[1]Collision Data '!$E$9</f>
        <v>0</v>
      </c>
      <c r="M91" s="144">
        <f>J91*[1]Parameters!$D$23*'[1]Collision Data '!$E$10</f>
        <v>0</v>
      </c>
      <c r="N91" s="161">
        <f>K91*[1]Parameters!$D$24*'[1]Collision Data '!$E$10</f>
        <v>0</v>
      </c>
      <c r="O91" s="53"/>
      <c r="P91" s="53"/>
    </row>
    <row r="92" spans="2:16" hidden="1" x14ac:dyDescent="0.25">
      <c r="B92" s="389">
        <v>2023</v>
      </c>
      <c r="C92" s="384">
        <v>0</v>
      </c>
      <c r="D92" s="139">
        <v>3</v>
      </c>
      <c r="E92" s="421">
        <f t="shared" si="11"/>
        <v>0</v>
      </c>
      <c r="F92" s="410" t="e">
        <f>(('[1]Collision Data '!B$8*$E92*1*365)/1000000)</f>
        <v>#DIV/0!</v>
      </c>
      <c r="G92" s="406" t="e">
        <f>(('[1]Collision Data '!C$8*$E92*1*365)/1000000)</f>
        <v>#DIV/0!</v>
      </c>
      <c r="H92" s="411" t="e">
        <f>(('[1]Collision Data '!D$8*$E92*1*365)/1000000)</f>
        <v>#DIV/0!</v>
      </c>
      <c r="I92" s="431">
        <v>0</v>
      </c>
      <c r="J92" s="415">
        <v>0</v>
      </c>
      <c r="K92" s="414">
        <v>0</v>
      </c>
      <c r="L92" s="149">
        <f>I92*[1]Parameters!$D$28*'[1]Collision Data '!$E$9</f>
        <v>0</v>
      </c>
      <c r="M92" s="144">
        <f>J92*[1]Parameters!$D$23*'[1]Collision Data '!$E$10</f>
        <v>0</v>
      </c>
      <c r="N92" s="161">
        <f>K92*[1]Parameters!$D$24*'[1]Collision Data '!$E$10</f>
        <v>0</v>
      </c>
      <c r="O92" s="53"/>
      <c r="P92" s="53"/>
    </row>
    <row r="93" spans="2:16" hidden="1" x14ac:dyDescent="0.25">
      <c r="B93" s="389">
        <v>2024</v>
      </c>
      <c r="C93" s="384">
        <v>0</v>
      </c>
      <c r="D93" s="139">
        <v>4</v>
      </c>
      <c r="E93" s="421">
        <f t="shared" si="11"/>
        <v>0</v>
      </c>
      <c r="F93" s="410" t="e">
        <f>(('[1]Collision Data '!B$8*$E93*1*365)/1000000)</f>
        <v>#DIV/0!</v>
      </c>
      <c r="G93" s="406" t="e">
        <f>(('[1]Collision Data '!C$8*$E93*1*365)/1000000)</f>
        <v>#DIV/0!</v>
      </c>
      <c r="H93" s="411" t="e">
        <f>(('[1]Collision Data '!D$8*$E93*1*365)/1000000)</f>
        <v>#DIV/0!</v>
      </c>
      <c r="I93" s="431">
        <v>0</v>
      </c>
      <c r="J93" s="415">
        <v>0</v>
      </c>
      <c r="K93" s="414">
        <v>0</v>
      </c>
      <c r="L93" s="149">
        <f>I93*[1]Parameters!$D$28*'[1]Collision Data '!$E$9</f>
        <v>0</v>
      </c>
      <c r="M93" s="144">
        <f>J93*[1]Parameters!$D$23*'[1]Collision Data '!$E$10</f>
        <v>0</v>
      </c>
      <c r="N93" s="161">
        <f>K93*[1]Parameters!$D$24*'[1]Collision Data '!$E$10</f>
        <v>0</v>
      </c>
      <c r="O93" s="53"/>
      <c r="P93" s="53"/>
    </row>
    <row r="94" spans="2:16" hidden="1" x14ac:dyDescent="0.25">
      <c r="B94" s="389">
        <v>2025</v>
      </c>
      <c r="C94" s="384">
        <v>0</v>
      </c>
      <c r="D94" s="139">
        <v>5</v>
      </c>
      <c r="E94" s="421">
        <f t="shared" si="11"/>
        <v>0</v>
      </c>
      <c r="F94" s="410" t="e">
        <f>(('[1]Collision Data '!B$8*$E94*1*365)/1000000)</f>
        <v>#DIV/0!</v>
      </c>
      <c r="G94" s="406" t="e">
        <f>(('[1]Collision Data '!C$8*$E94*1*365)/1000000)</f>
        <v>#DIV/0!</v>
      </c>
      <c r="H94" s="411" t="e">
        <f>(('[1]Collision Data '!D$8*$E94*1*365)/1000000)</f>
        <v>#DIV/0!</v>
      </c>
      <c r="I94" s="431">
        <v>0</v>
      </c>
      <c r="J94" s="415">
        <v>0</v>
      </c>
      <c r="K94" s="414">
        <v>0</v>
      </c>
      <c r="L94" s="149">
        <f>I94*[1]Parameters!$D$28*'[1]Collision Data '!$E$9</f>
        <v>0</v>
      </c>
      <c r="M94" s="144">
        <f>J94*[1]Parameters!$D$23*'[1]Collision Data '!$E$10</f>
        <v>0</v>
      </c>
      <c r="N94" s="161">
        <f>K94*[1]Parameters!$D$24*'[1]Collision Data '!$E$10</f>
        <v>0</v>
      </c>
      <c r="O94" s="53"/>
      <c r="P94" s="53"/>
    </row>
    <row r="95" spans="2:16" hidden="1" x14ac:dyDescent="0.25">
      <c r="B95" s="389">
        <v>2026</v>
      </c>
      <c r="C95" s="384">
        <v>0</v>
      </c>
      <c r="D95" s="139">
        <v>6</v>
      </c>
      <c r="E95" s="421">
        <f t="shared" si="11"/>
        <v>0</v>
      </c>
      <c r="F95" s="410" t="e">
        <f>(('[1]Collision Data '!B$8*$E95*1*365)/1000000)</f>
        <v>#DIV/0!</v>
      </c>
      <c r="G95" s="406" t="e">
        <f>(('[1]Collision Data '!C$8*$E95*1*365)/1000000)</f>
        <v>#DIV/0!</v>
      </c>
      <c r="H95" s="411" t="e">
        <f>(('[1]Collision Data '!D$8*$E95*1*365)/1000000)</f>
        <v>#DIV/0!</v>
      </c>
      <c r="I95" s="431">
        <v>0</v>
      </c>
      <c r="J95" s="415">
        <v>0</v>
      </c>
      <c r="K95" s="414">
        <v>0</v>
      </c>
      <c r="L95" s="149">
        <f>I95*[1]Parameters!$D$28*'[1]Collision Data '!$E$9</f>
        <v>0</v>
      </c>
      <c r="M95" s="144">
        <f>J95*[1]Parameters!$D$23*'[1]Collision Data '!$E$10</f>
        <v>0</v>
      </c>
      <c r="N95" s="161">
        <f>K95*[1]Parameters!$D$24*'[1]Collision Data '!$E$10</f>
        <v>0</v>
      </c>
      <c r="O95" s="53"/>
      <c r="P95" s="53"/>
    </row>
    <row r="96" spans="2:16" hidden="1" x14ac:dyDescent="0.25">
      <c r="B96" s="391">
        <v>2027</v>
      </c>
      <c r="C96" s="385">
        <v>1</v>
      </c>
      <c r="D96" s="140">
        <v>7</v>
      </c>
      <c r="E96" s="422">
        <f>'[1]Collision Data '!M67</f>
        <v>0</v>
      </c>
      <c r="F96" s="425" t="e">
        <f>(('[1]Collision Data '!B$8*$E96*1*365)/1000000)</f>
        <v>#DIV/0!</v>
      </c>
      <c r="G96" s="416" t="e">
        <f>(('[1]Collision Data '!C$8*$E96*1*365)/1000000)</f>
        <v>#DIV/0!</v>
      </c>
      <c r="H96" s="426" t="e">
        <f>(('[1]Collision Data '!D$8*$E96*1*365)/1000000)</f>
        <v>#DIV/0!</v>
      </c>
      <c r="I96" s="425" t="e">
        <f>F96-(F96*'[1]Collision Data '!$B$19)</f>
        <v>#DIV/0!</v>
      </c>
      <c r="J96" s="416" t="e">
        <f>G96-(G96*'[1]Collision Data '!$B$19)</f>
        <v>#DIV/0!</v>
      </c>
      <c r="K96" s="426" t="e">
        <f>H96-(H96*'[1]Collision Data '!$B$19)</f>
        <v>#DIV/0!</v>
      </c>
      <c r="L96" s="150" t="e">
        <f>I96*[1]Parameters!$D$28*'[1]Collision Data '!$E$9</f>
        <v>#DIV/0!</v>
      </c>
      <c r="M96" s="145" t="e">
        <f>J96*[1]Parameters!$D$23*'[1]Collision Data '!$E$10</f>
        <v>#DIV/0!</v>
      </c>
      <c r="N96" s="162" t="e">
        <f>K96*[1]Parameters!$D$24*'[1]Collision Data '!$E$10</f>
        <v>#DIV/0!</v>
      </c>
      <c r="O96" s="53"/>
      <c r="P96" s="53"/>
    </row>
    <row r="97" spans="2:16" hidden="1" x14ac:dyDescent="0.25">
      <c r="B97" s="393">
        <v>2028</v>
      </c>
      <c r="C97" s="386">
        <v>2</v>
      </c>
      <c r="D97" s="141">
        <v>8</v>
      </c>
      <c r="E97" s="475">
        <f t="shared" ref="E97:E126" si="12">$E$96*(1+0.005)^(B97-$B$96)</f>
        <v>0</v>
      </c>
      <c r="F97" s="427" t="e">
        <f>(('[1]Collision Data '!B$8*$E97*1*365)/1000000)</f>
        <v>#DIV/0!</v>
      </c>
      <c r="G97" s="417" t="e">
        <f>(('[1]Collision Data '!C$8*$E97*1*365)/1000000)</f>
        <v>#DIV/0!</v>
      </c>
      <c r="H97" s="428" t="e">
        <f>(('[1]Collision Data '!D$8*$E97*1*365)/1000000)</f>
        <v>#DIV/0!</v>
      </c>
      <c r="I97" s="427" t="e">
        <f>F97-(F97*'[1]Collision Data '!$B$19)</f>
        <v>#DIV/0!</v>
      </c>
      <c r="J97" s="417" t="e">
        <f>G97-(G97*'[1]Collision Data '!$B$19)</f>
        <v>#DIV/0!</v>
      </c>
      <c r="K97" s="428" t="e">
        <f>H97-(H97*'[1]Collision Data '!$B$19)</f>
        <v>#DIV/0!</v>
      </c>
      <c r="L97" s="483" t="e">
        <f>I97*[1]Parameters!$D$28*'[1]Collision Data '!$E$9</f>
        <v>#DIV/0!</v>
      </c>
      <c r="M97" s="484" t="e">
        <f>J97*[1]Parameters!$D$23*'[1]Collision Data '!$E$10</f>
        <v>#DIV/0!</v>
      </c>
      <c r="N97" s="485" t="e">
        <f>K97*[1]Parameters!$D$24*'[1]Collision Data '!$E$10</f>
        <v>#DIV/0!</v>
      </c>
      <c r="O97" s="53"/>
      <c r="P97" s="53"/>
    </row>
    <row r="98" spans="2:16" hidden="1" x14ac:dyDescent="0.25">
      <c r="B98" s="395">
        <v>2029</v>
      </c>
      <c r="C98" s="387">
        <v>3</v>
      </c>
      <c r="D98" s="142">
        <v>9</v>
      </c>
      <c r="E98" s="475">
        <f t="shared" si="12"/>
        <v>0</v>
      </c>
      <c r="F98" s="427" t="e">
        <f>(('[1]Collision Data '!B$8*$E98*1*365)/1000000)</f>
        <v>#DIV/0!</v>
      </c>
      <c r="G98" s="417" t="e">
        <f>(('[1]Collision Data '!C$8*$E98*1*365)/1000000)</f>
        <v>#DIV/0!</v>
      </c>
      <c r="H98" s="428" t="e">
        <f>(('[1]Collision Data '!D$8*$E98*1*365)/1000000)</f>
        <v>#DIV/0!</v>
      </c>
      <c r="I98" s="427" t="e">
        <f>F98-(F98*'[1]Collision Data '!$B$19)</f>
        <v>#DIV/0!</v>
      </c>
      <c r="J98" s="417" t="e">
        <f>G98-(G98*'[1]Collision Data '!$B$19)</f>
        <v>#DIV/0!</v>
      </c>
      <c r="K98" s="428" t="e">
        <f>H98-(H98*'[1]Collision Data '!$B$19)</f>
        <v>#DIV/0!</v>
      </c>
      <c r="L98" s="483" t="e">
        <f>I98*[1]Parameters!$D$28*'[1]Collision Data '!$E$9</f>
        <v>#DIV/0!</v>
      </c>
      <c r="M98" s="484" t="e">
        <f>J98*[1]Parameters!$D$23*'[1]Collision Data '!$E$10</f>
        <v>#DIV/0!</v>
      </c>
      <c r="N98" s="485" t="e">
        <f>K98*[1]Parameters!$D$24*'[1]Collision Data '!$E$10</f>
        <v>#DIV/0!</v>
      </c>
      <c r="O98" s="53"/>
      <c r="P98" s="53"/>
    </row>
    <row r="99" spans="2:16" hidden="1" x14ac:dyDescent="0.25">
      <c r="B99" s="393">
        <v>2030</v>
      </c>
      <c r="C99" s="387">
        <v>4</v>
      </c>
      <c r="D99" s="142">
        <v>10</v>
      </c>
      <c r="E99" s="475">
        <f t="shared" si="12"/>
        <v>0</v>
      </c>
      <c r="F99" s="427" t="e">
        <f>(('[1]Collision Data '!B$8*$E99*1*365)/1000000)</f>
        <v>#DIV/0!</v>
      </c>
      <c r="G99" s="417" t="e">
        <f>(('[1]Collision Data '!C$8*$E99*1*365)/1000000)</f>
        <v>#DIV/0!</v>
      </c>
      <c r="H99" s="428" t="e">
        <f>(('[1]Collision Data '!D$8*$E99*1*365)/1000000)</f>
        <v>#DIV/0!</v>
      </c>
      <c r="I99" s="427" t="e">
        <f>F99-(F99*'[1]Collision Data '!$B$19)</f>
        <v>#DIV/0!</v>
      </c>
      <c r="J99" s="417" t="e">
        <f>G99-(G99*'[1]Collision Data '!$B$19)</f>
        <v>#DIV/0!</v>
      </c>
      <c r="K99" s="428" t="e">
        <f>H99-(H99*'[1]Collision Data '!$B$19)</f>
        <v>#DIV/0!</v>
      </c>
      <c r="L99" s="483" t="e">
        <f>I99*[1]Parameters!$D$28*'[1]Collision Data '!$E$9</f>
        <v>#DIV/0!</v>
      </c>
      <c r="M99" s="484" t="e">
        <f>J99*[1]Parameters!$D$23*'[1]Collision Data '!$E$10</f>
        <v>#DIV/0!</v>
      </c>
      <c r="N99" s="485" t="e">
        <f>K99*[1]Parameters!$D$24*'[1]Collision Data '!$E$10</f>
        <v>#DIV/0!</v>
      </c>
      <c r="O99" s="53"/>
      <c r="P99" s="53"/>
    </row>
    <row r="100" spans="2:16" hidden="1" x14ac:dyDescent="0.25">
      <c r="B100" s="395">
        <v>2031</v>
      </c>
      <c r="C100" s="387">
        <v>5</v>
      </c>
      <c r="D100" s="142">
        <v>11</v>
      </c>
      <c r="E100" s="475">
        <f t="shared" si="12"/>
        <v>0</v>
      </c>
      <c r="F100" s="427" t="e">
        <f>(('[1]Collision Data '!B$8*$E100*1*365)/1000000)</f>
        <v>#DIV/0!</v>
      </c>
      <c r="G100" s="417" t="e">
        <f>(('[1]Collision Data '!C$8*$E100*1*365)/1000000)</f>
        <v>#DIV/0!</v>
      </c>
      <c r="H100" s="428" t="e">
        <f>(('[1]Collision Data '!D$8*$E100*1*365)/1000000)</f>
        <v>#DIV/0!</v>
      </c>
      <c r="I100" s="427" t="e">
        <f>F100-(F100*'[1]Collision Data '!$B$19)</f>
        <v>#DIV/0!</v>
      </c>
      <c r="J100" s="417" t="e">
        <f>G100-(G100*'[1]Collision Data '!$B$19)</f>
        <v>#DIV/0!</v>
      </c>
      <c r="K100" s="428" t="e">
        <f>H100-(H100*'[1]Collision Data '!$B$19)</f>
        <v>#DIV/0!</v>
      </c>
      <c r="L100" s="483" t="e">
        <f>I100*[1]Parameters!$D$28*'[1]Collision Data '!$E$9</f>
        <v>#DIV/0!</v>
      </c>
      <c r="M100" s="484" t="e">
        <f>J100*[1]Parameters!$D$23*'[1]Collision Data '!$E$10</f>
        <v>#DIV/0!</v>
      </c>
      <c r="N100" s="485" t="e">
        <f>K100*[1]Parameters!$D$24*'[1]Collision Data '!$E$10</f>
        <v>#DIV/0!</v>
      </c>
      <c r="O100" s="53"/>
      <c r="P100" s="53"/>
    </row>
    <row r="101" spans="2:16" hidden="1" x14ac:dyDescent="0.25">
      <c r="B101" s="393">
        <v>2032</v>
      </c>
      <c r="C101" s="387">
        <v>6</v>
      </c>
      <c r="D101" s="142">
        <v>12</v>
      </c>
      <c r="E101" s="475">
        <f t="shared" si="12"/>
        <v>0</v>
      </c>
      <c r="F101" s="427" t="e">
        <f>(('[1]Collision Data '!B$8*$E101*1*365)/1000000)</f>
        <v>#DIV/0!</v>
      </c>
      <c r="G101" s="417" t="e">
        <f>(('[1]Collision Data '!C$8*$E101*1*365)/1000000)</f>
        <v>#DIV/0!</v>
      </c>
      <c r="H101" s="428" t="e">
        <f>(('[1]Collision Data '!D$8*$E101*1*365)/1000000)</f>
        <v>#DIV/0!</v>
      </c>
      <c r="I101" s="427" t="e">
        <f>F101-(F101*'[1]Collision Data '!$B$19)</f>
        <v>#DIV/0!</v>
      </c>
      <c r="J101" s="417" t="e">
        <f>G101-(G101*'[1]Collision Data '!$B$19)</f>
        <v>#DIV/0!</v>
      </c>
      <c r="K101" s="428" t="e">
        <f>H101-(H101*'[1]Collision Data '!$B$19)</f>
        <v>#DIV/0!</v>
      </c>
      <c r="L101" s="483" t="e">
        <f>I101*[1]Parameters!$D$28*'[1]Collision Data '!$E$9</f>
        <v>#DIV/0!</v>
      </c>
      <c r="M101" s="484" t="e">
        <f>J101*[1]Parameters!$D$23*'[1]Collision Data '!$E$10</f>
        <v>#DIV/0!</v>
      </c>
      <c r="N101" s="485" t="e">
        <f>K101*[1]Parameters!$D$24*'[1]Collision Data '!$E$10</f>
        <v>#DIV/0!</v>
      </c>
      <c r="O101" s="53"/>
      <c r="P101" s="53"/>
    </row>
    <row r="102" spans="2:16" hidden="1" x14ac:dyDescent="0.25">
      <c r="B102" s="395">
        <v>2033</v>
      </c>
      <c r="C102" s="387">
        <v>7</v>
      </c>
      <c r="D102" s="142">
        <v>13</v>
      </c>
      <c r="E102" s="475">
        <f t="shared" si="12"/>
        <v>0</v>
      </c>
      <c r="F102" s="427" t="e">
        <f>(('[1]Collision Data '!B$8*$E102*1*365)/1000000)</f>
        <v>#DIV/0!</v>
      </c>
      <c r="G102" s="417" t="e">
        <f>(('[1]Collision Data '!C$8*$E102*1*365)/1000000)</f>
        <v>#DIV/0!</v>
      </c>
      <c r="H102" s="428" t="e">
        <f>(('[1]Collision Data '!D$8*$E102*1*365)/1000000)</f>
        <v>#DIV/0!</v>
      </c>
      <c r="I102" s="427" t="e">
        <f>F102-(F102*'[1]Collision Data '!$B$19)</f>
        <v>#DIV/0!</v>
      </c>
      <c r="J102" s="417" t="e">
        <f>G102-(G102*'[1]Collision Data '!$B$19)</f>
        <v>#DIV/0!</v>
      </c>
      <c r="K102" s="428" t="e">
        <f>H102-(H102*'[1]Collision Data '!$B$19)</f>
        <v>#DIV/0!</v>
      </c>
      <c r="L102" s="483" t="e">
        <f>I102*[1]Parameters!$D$28*'[1]Collision Data '!$E$9</f>
        <v>#DIV/0!</v>
      </c>
      <c r="M102" s="484" t="e">
        <f>J102*[1]Parameters!$D$23*'[1]Collision Data '!$E$10</f>
        <v>#DIV/0!</v>
      </c>
      <c r="N102" s="485" t="e">
        <f>K102*[1]Parameters!$D$24*'[1]Collision Data '!$E$10</f>
        <v>#DIV/0!</v>
      </c>
      <c r="O102" s="53"/>
      <c r="P102" s="53"/>
    </row>
    <row r="103" spans="2:16" hidden="1" x14ac:dyDescent="0.25">
      <c r="B103" s="393">
        <v>2034</v>
      </c>
      <c r="C103" s="387">
        <v>8</v>
      </c>
      <c r="D103" s="142">
        <v>14</v>
      </c>
      <c r="E103" s="475">
        <f t="shared" si="12"/>
        <v>0</v>
      </c>
      <c r="F103" s="427" t="e">
        <f>(('[1]Collision Data '!B$8*$E103*1*365)/1000000)</f>
        <v>#DIV/0!</v>
      </c>
      <c r="G103" s="417" t="e">
        <f>(('[1]Collision Data '!C$8*$E103*1*365)/1000000)</f>
        <v>#DIV/0!</v>
      </c>
      <c r="H103" s="428" t="e">
        <f>(('[1]Collision Data '!D$8*$E103*1*365)/1000000)</f>
        <v>#DIV/0!</v>
      </c>
      <c r="I103" s="427" t="e">
        <f>F103-(F103*'[1]Collision Data '!$B$19)</f>
        <v>#DIV/0!</v>
      </c>
      <c r="J103" s="417" t="e">
        <f>G103-(G103*'[1]Collision Data '!$B$19)</f>
        <v>#DIV/0!</v>
      </c>
      <c r="K103" s="428" t="e">
        <f>H103-(H103*'[1]Collision Data '!$B$19)</f>
        <v>#DIV/0!</v>
      </c>
      <c r="L103" s="483" t="e">
        <f>I103*[1]Parameters!$D$28*'[1]Collision Data '!$E$9</f>
        <v>#DIV/0!</v>
      </c>
      <c r="M103" s="484" t="e">
        <f>J103*[1]Parameters!$D$23*'[1]Collision Data '!$E$10</f>
        <v>#DIV/0!</v>
      </c>
      <c r="N103" s="485" t="e">
        <f>K103*[1]Parameters!$D$24*'[1]Collision Data '!$E$10</f>
        <v>#DIV/0!</v>
      </c>
      <c r="O103" s="53"/>
      <c r="P103" s="53"/>
    </row>
    <row r="104" spans="2:16" hidden="1" x14ac:dyDescent="0.25">
      <c r="B104" s="395">
        <v>2035</v>
      </c>
      <c r="C104" s="387">
        <v>9</v>
      </c>
      <c r="D104" s="142">
        <v>15</v>
      </c>
      <c r="E104" s="475">
        <f t="shared" si="12"/>
        <v>0</v>
      </c>
      <c r="F104" s="427" t="e">
        <f>(('[1]Collision Data '!B$8*$E104*1*365)/1000000)</f>
        <v>#DIV/0!</v>
      </c>
      <c r="G104" s="417" t="e">
        <f>(('[1]Collision Data '!C$8*$E104*1*365)/1000000)</f>
        <v>#DIV/0!</v>
      </c>
      <c r="H104" s="428" t="e">
        <f>(('[1]Collision Data '!D$8*$E104*1*365)/1000000)</f>
        <v>#DIV/0!</v>
      </c>
      <c r="I104" s="427" t="e">
        <f>F104-(F104*'[1]Collision Data '!$B$19)</f>
        <v>#DIV/0!</v>
      </c>
      <c r="J104" s="417" t="e">
        <f>G104-(G104*'[1]Collision Data '!$B$19)</f>
        <v>#DIV/0!</v>
      </c>
      <c r="K104" s="428" t="e">
        <f>H104-(H104*'[1]Collision Data '!$B$19)</f>
        <v>#DIV/0!</v>
      </c>
      <c r="L104" s="483" t="e">
        <f>I104*[1]Parameters!$D$28*'[1]Collision Data '!$E$9</f>
        <v>#DIV/0!</v>
      </c>
      <c r="M104" s="484" t="e">
        <f>J104*[1]Parameters!$D$23*'[1]Collision Data '!$E$10</f>
        <v>#DIV/0!</v>
      </c>
      <c r="N104" s="485" t="e">
        <f>K104*[1]Parameters!$D$24*'[1]Collision Data '!$E$10</f>
        <v>#DIV/0!</v>
      </c>
      <c r="O104" s="53"/>
      <c r="P104" s="53"/>
    </row>
    <row r="105" spans="2:16" hidden="1" x14ac:dyDescent="0.25">
      <c r="B105" s="393">
        <v>2036</v>
      </c>
      <c r="C105" s="387">
        <v>10</v>
      </c>
      <c r="D105" s="142">
        <v>16</v>
      </c>
      <c r="E105" s="475">
        <f t="shared" si="12"/>
        <v>0</v>
      </c>
      <c r="F105" s="427" t="e">
        <f>(('[1]Collision Data '!B$8*$E105*1*365)/1000000)</f>
        <v>#DIV/0!</v>
      </c>
      <c r="G105" s="417" t="e">
        <f>(('[1]Collision Data '!C$8*$E105*1*365)/1000000)</f>
        <v>#DIV/0!</v>
      </c>
      <c r="H105" s="428" t="e">
        <f>(('[1]Collision Data '!D$8*$E105*1*365)/1000000)</f>
        <v>#DIV/0!</v>
      </c>
      <c r="I105" s="427" t="e">
        <f>F105-(F105*'[1]Collision Data '!$B$19)</f>
        <v>#DIV/0!</v>
      </c>
      <c r="J105" s="417" t="e">
        <f>G105-(G105*'[1]Collision Data '!$B$19)</f>
        <v>#DIV/0!</v>
      </c>
      <c r="K105" s="428" t="e">
        <f>H105-(H105*'[1]Collision Data '!$B$19)</f>
        <v>#DIV/0!</v>
      </c>
      <c r="L105" s="483" t="e">
        <f>I105*[1]Parameters!$D$28*'[1]Collision Data '!$E$9</f>
        <v>#DIV/0!</v>
      </c>
      <c r="M105" s="484" t="e">
        <f>J105*[1]Parameters!$D$23*'[1]Collision Data '!$E$10</f>
        <v>#DIV/0!</v>
      </c>
      <c r="N105" s="485" t="e">
        <f>K105*[1]Parameters!$D$24*'[1]Collision Data '!$E$10</f>
        <v>#DIV/0!</v>
      </c>
      <c r="O105" s="53"/>
      <c r="P105" s="53"/>
    </row>
    <row r="106" spans="2:16" hidden="1" x14ac:dyDescent="0.25">
      <c r="B106" s="395">
        <v>2037</v>
      </c>
      <c r="C106" s="387">
        <v>11</v>
      </c>
      <c r="D106" s="142">
        <v>17</v>
      </c>
      <c r="E106" s="475">
        <f t="shared" si="12"/>
        <v>0</v>
      </c>
      <c r="F106" s="427" t="e">
        <f>(('[1]Collision Data '!B$8*$E106*1*365)/1000000)</f>
        <v>#DIV/0!</v>
      </c>
      <c r="G106" s="417" t="e">
        <f>(('[1]Collision Data '!C$8*$E106*1*365)/1000000)</f>
        <v>#DIV/0!</v>
      </c>
      <c r="H106" s="428" t="e">
        <f>(('[1]Collision Data '!D$8*$E106*1*365)/1000000)</f>
        <v>#DIV/0!</v>
      </c>
      <c r="I106" s="427" t="e">
        <f>F106-(F106*'[1]Collision Data '!$B$19)</f>
        <v>#DIV/0!</v>
      </c>
      <c r="J106" s="417" t="e">
        <f>G106-(G106*'[1]Collision Data '!$B$19)</f>
        <v>#DIV/0!</v>
      </c>
      <c r="K106" s="428" t="e">
        <f>H106-(H106*'[1]Collision Data '!$B$19)</f>
        <v>#DIV/0!</v>
      </c>
      <c r="L106" s="483" t="e">
        <f>I106*[1]Parameters!$D$28*'[1]Collision Data '!$E$9</f>
        <v>#DIV/0!</v>
      </c>
      <c r="M106" s="484" t="e">
        <f>J106*[1]Parameters!$D$23*'[1]Collision Data '!$E$10</f>
        <v>#DIV/0!</v>
      </c>
      <c r="N106" s="485" t="e">
        <f>K106*[1]Parameters!$D$24*'[1]Collision Data '!$E$10</f>
        <v>#DIV/0!</v>
      </c>
      <c r="O106" s="53"/>
      <c r="P106" s="53"/>
    </row>
    <row r="107" spans="2:16" hidden="1" x14ac:dyDescent="0.25">
      <c r="B107" s="393">
        <v>2038</v>
      </c>
      <c r="C107" s="387">
        <v>12</v>
      </c>
      <c r="D107" s="142">
        <v>18</v>
      </c>
      <c r="E107" s="475">
        <f t="shared" si="12"/>
        <v>0</v>
      </c>
      <c r="F107" s="427" t="e">
        <f>(('[1]Collision Data '!B$8*$E107*1*365)/1000000)</f>
        <v>#DIV/0!</v>
      </c>
      <c r="G107" s="417" t="e">
        <f>(('[1]Collision Data '!C$8*$E107*1*365)/1000000)</f>
        <v>#DIV/0!</v>
      </c>
      <c r="H107" s="428" t="e">
        <f>(('[1]Collision Data '!D$8*$E107*1*365)/1000000)</f>
        <v>#DIV/0!</v>
      </c>
      <c r="I107" s="427" t="e">
        <f>F107-(F107*'[1]Collision Data '!$B$19)</f>
        <v>#DIV/0!</v>
      </c>
      <c r="J107" s="417" t="e">
        <f>G107-(G107*'[1]Collision Data '!$B$19)</f>
        <v>#DIV/0!</v>
      </c>
      <c r="K107" s="428" t="e">
        <f>H107-(H107*'[1]Collision Data '!$B$19)</f>
        <v>#DIV/0!</v>
      </c>
      <c r="L107" s="483" t="e">
        <f>I107*[1]Parameters!$D$28*'[1]Collision Data '!$E$9</f>
        <v>#DIV/0!</v>
      </c>
      <c r="M107" s="484" t="e">
        <f>J107*[1]Parameters!$D$23*'[1]Collision Data '!$E$10</f>
        <v>#DIV/0!</v>
      </c>
      <c r="N107" s="485" t="e">
        <f>K107*[1]Parameters!$D$24*'[1]Collision Data '!$E$10</f>
        <v>#DIV/0!</v>
      </c>
      <c r="O107" s="53"/>
      <c r="P107" s="53"/>
    </row>
    <row r="108" spans="2:16" hidden="1" x14ac:dyDescent="0.25">
      <c r="B108" s="395">
        <v>2039</v>
      </c>
      <c r="C108" s="387">
        <v>13</v>
      </c>
      <c r="D108" s="142">
        <v>19</v>
      </c>
      <c r="E108" s="475">
        <f t="shared" si="12"/>
        <v>0</v>
      </c>
      <c r="F108" s="427" t="e">
        <f>(('[1]Collision Data '!B$8*$E108*1*365)/1000000)</f>
        <v>#DIV/0!</v>
      </c>
      <c r="G108" s="417" t="e">
        <f>(('[1]Collision Data '!C$8*$E108*1*365)/1000000)</f>
        <v>#DIV/0!</v>
      </c>
      <c r="H108" s="428" t="e">
        <f>(('[1]Collision Data '!D$8*$E108*1*365)/1000000)</f>
        <v>#DIV/0!</v>
      </c>
      <c r="I108" s="427" t="e">
        <f>F108-(F108*'[1]Collision Data '!$B$19)</f>
        <v>#DIV/0!</v>
      </c>
      <c r="J108" s="417" t="e">
        <f>G108-(G108*'[1]Collision Data '!$B$19)</f>
        <v>#DIV/0!</v>
      </c>
      <c r="K108" s="428" t="e">
        <f>H108-(H108*'[1]Collision Data '!$B$19)</f>
        <v>#DIV/0!</v>
      </c>
      <c r="L108" s="483" t="e">
        <f>I108*[1]Parameters!$D$28*'[1]Collision Data '!$E$9</f>
        <v>#DIV/0!</v>
      </c>
      <c r="M108" s="484" t="e">
        <f>J108*[1]Parameters!$D$23*'[1]Collision Data '!$E$10</f>
        <v>#DIV/0!</v>
      </c>
      <c r="N108" s="485" t="e">
        <f>K108*[1]Parameters!$D$24*'[1]Collision Data '!$E$10</f>
        <v>#DIV/0!</v>
      </c>
      <c r="O108" s="53"/>
      <c r="P108" s="53"/>
    </row>
    <row r="109" spans="2:16" hidden="1" x14ac:dyDescent="0.25">
      <c r="B109" s="393">
        <v>2040</v>
      </c>
      <c r="C109" s="387">
        <v>14</v>
      </c>
      <c r="D109" s="142">
        <v>20</v>
      </c>
      <c r="E109" s="475">
        <f t="shared" si="12"/>
        <v>0</v>
      </c>
      <c r="F109" s="427" t="e">
        <f>(('[1]Collision Data '!B$8*$E109*1*365)/1000000)</f>
        <v>#DIV/0!</v>
      </c>
      <c r="G109" s="417" t="e">
        <f>(('[1]Collision Data '!C$8*$E109*1*365)/1000000)</f>
        <v>#DIV/0!</v>
      </c>
      <c r="H109" s="428" t="e">
        <f>(('[1]Collision Data '!D$8*$E109*1*365)/1000000)</f>
        <v>#DIV/0!</v>
      </c>
      <c r="I109" s="427" t="e">
        <f>F109-(F109*'[1]Collision Data '!$B$19)</f>
        <v>#DIV/0!</v>
      </c>
      <c r="J109" s="417" t="e">
        <f>G109-(G109*'[1]Collision Data '!$B$19)</f>
        <v>#DIV/0!</v>
      </c>
      <c r="K109" s="428" t="e">
        <f>H109-(H109*'[1]Collision Data '!$B$19)</f>
        <v>#DIV/0!</v>
      </c>
      <c r="L109" s="483" t="e">
        <f>I109*[1]Parameters!$D$28*'[1]Collision Data '!$E$9</f>
        <v>#DIV/0!</v>
      </c>
      <c r="M109" s="484" t="e">
        <f>J109*[1]Parameters!$D$23*'[1]Collision Data '!$E$10</f>
        <v>#DIV/0!</v>
      </c>
      <c r="N109" s="485" t="e">
        <f>K109*[1]Parameters!$D$24*'[1]Collision Data '!$E$10</f>
        <v>#DIV/0!</v>
      </c>
      <c r="O109" s="53"/>
      <c r="P109" s="53"/>
    </row>
    <row r="110" spans="2:16" hidden="1" x14ac:dyDescent="0.25">
      <c r="B110" s="395">
        <v>2041</v>
      </c>
      <c r="C110" s="387">
        <v>15</v>
      </c>
      <c r="D110" s="142">
        <v>21</v>
      </c>
      <c r="E110" s="475">
        <f t="shared" si="12"/>
        <v>0</v>
      </c>
      <c r="F110" s="427" t="e">
        <f>(('[1]Collision Data '!B$8*$E110*1*365)/1000000)</f>
        <v>#DIV/0!</v>
      </c>
      <c r="G110" s="417" t="e">
        <f>(('[1]Collision Data '!C$8*$E110*1*365)/1000000)</f>
        <v>#DIV/0!</v>
      </c>
      <c r="H110" s="428" t="e">
        <f>(('[1]Collision Data '!D$8*$E110*1*365)/1000000)</f>
        <v>#DIV/0!</v>
      </c>
      <c r="I110" s="427" t="e">
        <f>F110-(F110*'[1]Collision Data '!$B$19)</f>
        <v>#DIV/0!</v>
      </c>
      <c r="J110" s="417" t="e">
        <f>G110-(G110*'[1]Collision Data '!$B$19)</f>
        <v>#DIV/0!</v>
      </c>
      <c r="K110" s="428" t="e">
        <f>H110-(H110*'[1]Collision Data '!$B$19)</f>
        <v>#DIV/0!</v>
      </c>
      <c r="L110" s="483" t="e">
        <f>I110*[1]Parameters!$D$28*'[1]Collision Data '!$E$9</f>
        <v>#DIV/0!</v>
      </c>
      <c r="M110" s="484" t="e">
        <f>J110*[1]Parameters!$D$23*'[1]Collision Data '!$E$10</f>
        <v>#DIV/0!</v>
      </c>
      <c r="N110" s="485" t="e">
        <f>K110*[1]Parameters!$D$24*'[1]Collision Data '!$E$10</f>
        <v>#DIV/0!</v>
      </c>
      <c r="O110" s="53"/>
      <c r="P110" s="53"/>
    </row>
    <row r="111" spans="2:16" hidden="1" x14ac:dyDescent="0.25">
      <c r="B111" s="393">
        <v>2042</v>
      </c>
      <c r="C111" s="387">
        <v>16</v>
      </c>
      <c r="D111" s="142">
        <v>22</v>
      </c>
      <c r="E111" s="475">
        <f t="shared" si="12"/>
        <v>0</v>
      </c>
      <c r="F111" s="427" t="e">
        <f>(('[1]Collision Data '!B$8*$E111*1*365)/1000000)</f>
        <v>#DIV/0!</v>
      </c>
      <c r="G111" s="417" t="e">
        <f>(('[1]Collision Data '!C$8*$E111*1*365)/1000000)</f>
        <v>#DIV/0!</v>
      </c>
      <c r="H111" s="428" t="e">
        <f>(('[1]Collision Data '!D$8*$E111*1*365)/1000000)</f>
        <v>#DIV/0!</v>
      </c>
      <c r="I111" s="427" t="e">
        <f>F111-(F111*'[1]Collision Data '!$B$19)</f>
        <v>#DIV/0!</v>
      </c>
      <c r="J111" s="417" t="e">
        <f>G111-(G111*'[1]Collision Data '!$B$19)</f>
        <v>#DIV/0!</v>
      </c>
      <c r="K111" s="428" t="e">
        <f>H111-(H111*'[1]Collision Data '!$B$19)</f>
        <v>#DIV/0!</v>
      </c>
      <c r="L111" s="483" t="e">
        <f>I111*[1]Parameters!$D$28*'[1]Collision Data '!$E$9</f>
        <v>#DIV/0!</v>
      </c>
      <c r="M111" s="484" t="e">
        <f>J111*[1]Parameters!$D$23*'[1]Collision Data '!$E$10</f>
        <v>#DIV/0!</v>
      </c>
      <c r="N111" s="485" t="e">
        <f>K111*[1]Parameters!$D$24*'[1]Collision Data '!$E$10</f>
        <v>#DIV/0!</v>
      </c>
      <c r="O111" s="53"/>
      <c r="P111" s="53"/>
    </row>
    <row r="112" spans="2:16" hidden="1" x14ac:dyDescent="0.25">
      <c r="B112" s="395">
        <v>2043</v>
      </c>
      <c r="C112" s="387">
        <v>17</v>
      </c>
      <c r="D112" s="142">
        <v>23</v>
      </c>
      <c r="E112" s="475">
        <f t="shared" si="12"/>
        <v>0</v>
      </c>
      <c r="F112" s="427" t="e">
        <f>(('[1]Collision Data '!B$8*$E112*1*365)/1000000)</f>
        <v>#DIV/0!</v>
      </c>
      <c r="G112" s="417" t="e">
        <f>(('[1]Collision Data '!C$8*$E112*1*365)/1000000)</f>
        <v>#DIV/0!</v>
      </c>
      <c r="H112" s="428" t="e">
        <f>(('[1]Collision Data '!D$8*$E112*1*365)/1000000)</f>
        <v>#DIV/0!</v>
      </c>
      <c r="I112" s="427" t="e">
        <f>F112-(F112*'[1]Collision Data '!$B$19)</f>
        <v>#DIV/0!</v>
      </c>
      <c r="J112" s="417" t="e">
        <f>G112-(G112*'[1]Collision Data '!$B$19)</f>
        <v>#DIV/0!</v>
      </c>
      <c r="K112" s="428" t="e">
        <f>H112-(H112*'[1]Collision Data '!$B$19)</f>
        <v>#DIV/0!</v>
      </c>
      <c r="L112" s="483" t="e">
        <f>I112*[1]Parameters!$D$28*'[1]Collision Data '!$E$9</f>
        <v>#DIV/0!</v>
      </c>
      <c r="M112" s="484" t="e">
        <f>J112*[1]Parameters!$D$23*'[1]Collision Data '!$E$10</f>
        <v>#DIV/0!</v>
      </c>
      <c r="N112" s="485" t="e">
        <f>K112*[1]Parameters!$D$24*'[1]Collision Data '!$E$10</f>
        <v>#DIV/0!</v>
      </c>
      <c r="O112" s="53"/>
      <c r="P112" s="53"/>
    </row>
    <row r="113" spans="2:16" hidden="1" x14ac:dyDescent="0.25">
      <c r="B113" s="393">
        <v>2044</v>
      </c>
      <c r="C113" s="387">
        <v>18</v>
      </c>
      <c r="D113" s="142">
        <v>24</v>
      </c>
      <c r="E113" s="475">
        <f t="shared" si="12"/>
        <v>0</v>
      </c>
      <c r="F113" s="427" t="e">
        <f>(('[1]Collision Data '!B$8*$E113*1*365)/1000000)</f>
        <v>#DIV/0!</v>
      </c>
      <c r="G113" s="417" t="e">
        <f>(('[1]Collision Data '!C$8*$E113*1*365)/1000000)</f>
        <v>#DIV/0!</v>
      </c>
      <c r="H113" s="428" t="e">
        <f>(('[1]Collision Data '!D$8*$E113*1*365)/1000000)</f>
        <v>#DIV/0!</v>
      </c>
      <c r="I113" s="427" t="e">
        <f>F113-(F113*'[1]Collision Data '!$B$19)</f>
        <v>#DIV/0!</v>
      </c>
      <c r="J113" s="417" t="e">
        <f>G113-(G113*'[1]Collision Data '!$B$19)</f>
        <v>#DIV/0!</v>
      </c>
      <c r="K113" s="428" t="e">
        <f>H113-(H113*'[1]Collision Data '!$B$19)</f>
        <v>#DIV/0!</v>
      </c>
      <c r="L113" s="483" t="e">
        <f>I113*[1]Parameters!$D$28*'[1]Collision Data '!$E$9</f>
        <v>#DIV/0!</v>
      </c>
      <c r="M113" s="484" t="e">
        <f>J113*[1]Parameters!$D$23*'[1]Collision Data '!$E$10</f>
        <v>#DIV/0!</v>
      </c>
      <c r="N113" s="485" t="e">
        <f>K113*[1]Parameters!$D$24*'[1]Collision Data '!$E$10</f>
        <v>#DIV/0!</v>
      </c>
      <c r="O113" s="53"/>
      <c r="P113" s="53"/>
    </row>
    <row r="114" spans="2:16" hidden="1" x14ac:dyDescent="0.25">
      <c r="B114" s="395">
        <v>2045</v>
      </c>
      <c r="C114" s="387">
        <v>19</v>
      </c>
      <c r="D114" s="142">
        <v>25</v>
      </c>
      <c r="E114" s="475">
        <f t="shared" si="12"/>
        <v>0</v>
      </c>
      <c r="F114" s="427" t="e">
        <f>(('[1]Collision Data '!B$8*$E114*1*365)/1000000)</f>
        <v>#DIV/0!</v>
      </c>
      <c r="G114" s="417" t="e">
        <f>(('[1]Collision Data '!C$8*$E114*1*365)/1000000)</f>
        <v>#DIV/0!</v>
      </c>
      <c r="H114" s="428" t="e">
        <f>(('[1]Collision Data '!D$8*$E114*1*365)/1000000)</f>
        <v>#DIV/0!</v>
      </c>
      <c r="I114" s="427" t="e">
        <f>F114-(F114*'[1]Collision Data '!$B$19)</f>
        <v>#DIV/0!</v>
      </c>
      <c r="J114" s="417" t="e">
        <f>G114-(G114*'[1]Collision Data '!$B$19)</f>
        <v>#DIV/0!</v>
      </c>
      <c r="K114" s="428" t="e">
        <f>H114-(H114*'[1]Collision Data '!$B$19)</f>
        <v>#DIV/0!</v>
      </c>
      <c r="L114" s="483" t="e">
        <f>I114*[1]Parameters!$D$28*'[1]Collision Data '!$E$9</f>
        <v>#DIV/0!</v>
      </c>
      <c r="M114" s="484" t="e">
        <f>J114*[1]Parameters!$D$23*'[1]Collision Data '!$E$10</f>
        <v>#DIV/0!</v>
      </c>
      <c r="N114" s="485" t="e">
        <f>K114*[1]Parameters!$D$24*'[1]Collision Data '!$E$10</f>
        <v>#DIV/0!</v>
      </c>
      <c r="O114" s="53"/>
      <c r="P114" s="53"/>
    </row>
    <row r="115" spans="2:16" hidden="1" x14ac:dyDescent="0.25">
      <c r="B115" s="393">
        <v>2046</v>
      </c>
      <c r="C115" s="387">
        <v>20</v>
      </c>
      <c r="D115" s="142">
        <v>26</v>
      </c>
      <c r="E115" s="475">
        <f t="shared" si="12"/>
        <v>0</v>
      </c>
      <c r="F115" s="427" t="e">
        <f>(('[1]Collision Data '!B$8*$E115*1*365)/1000000)</f>
        <v>#DIV/0!</v>
      </c>
      <c r="G115" s="417" t="e">
        <f>(('[1]Collision Data '!C$8*$E115*1*365)/1000000)</f>
        <v>#DIV/0!</v>
      </c>
      <c r="H115" s="428" t="e">
        <f>(('[1]Collision Data '!D$8*$E115*1*365)/1000000)</f>
        <v>#DIV/0!</v>
      </c>
      <c r="I115" s="427" t="e">
        <f>F115-(F115*'[1]Collision Data '!$B$19)</f>
        <v>#DIV/0!</v>
      </c>
      <c r="J115" s="417" t="e">
        <f>G115-(G115*'[1]Collision Data '!$B$19)</f>
        <v>#DIV/0!</v>
      </c>
      <c r="K115" s="428" t="e">
        <f>H115-(H115*'[1]Collision Data '!$B$19)</f>
        <v>#DIV/0!</v>
      </c>
      <c r="L115" s="483" t="e">
        <f>I115*[1]Parameters!$D$28*'[1]Collision Data '!$E$9</f>
        <v>#DIV/0!</v>
      </c>
      <c r="M115" s="484" t="e">
        <f>J115*[1]Parameters!$D$23*'[1]Collision Data '!$E$10</f>
        <v>#DIV/0!</v>
      </c>
      <c r="N115" s="485" t="e">
        <f>K115*[1]Parameters!$D$24*'[1]Collision Data '!$E$10</f>
        <v>#DIV/0!</v>
      </c>
      <c r="O115" s="53"/>
      <c r="P115" s="53"/>
    </row>
    <row r="116" spans="2:16" hidden="1" x14ac:dyDescent="0.25">
      <c r="B116" s="391">
        <v>2047</v>
      </c>
      <c r="C116" s="385">
        <v>21</v>
      </c>
      <c r="D116" s="140">
        <v>27</v>
      </c>
      <c r="E116" s="422">
        <f t="shared" si="12"/>
        <v>0</v>
      </c>
      <c r="F116" s="425" t="e">
        <f>(('[1]Collision Data '!B$8*$E116*1*365)/1000000)</f>
        <v>#DIV/0!</v>
      </c>
      <c r="G116" s="416" t="e">
        <f>(('[1]Collision Data '!C$8*$E116*1*365)/1000000)</f>
        <v>#DIV/0!</v>
      </c>
      <c r="H116" s="426" t="e">
        <f>(('[1]Collision Data '!D$8*$E116*1*365)/1000000)</f>
        <v>#DIV/0!</v>
      </c>
      <c r="I116" s="425" t="e">
        <f>F116-(F116*'[1]Collision Data '!$B$19)</f>
        <v>#DIV/0!</v>
      </c>
      <c r="J116" s="416" t="e">
        <f>G116-(G116*'[1]Collision Data '!$B$19)</f>
        <v>#DIV/0!</v>
      </c>
      <c r="K116" s="426" t="e">
        <f>H116-(H116*'[1]Collision Data '!$B$19)</f>
        <v>#DIV/0!</v>
      </c>
      <c r="L116" s="150" t="e">
        <f>I116*[1]Parameters!$D$28*'[1]Collision Data '!$E$9</f>
        <v>#DIV/0!</v>
      </c>
      <c r="M116" s="145" t="e">
        <f>J116*[1]Parameters!$D$23*'[1]Collision Data '!$E$10</f>
        <v>#DIV/0!</v>
      </c>
      <c r="N116" s="162" t="e">
        <f>K116*[1]Parameters!$D$24*'[1]Collision Data '!$E$10</f>
        <v>#DIV/0!</v>
      </c>
      <c r="O116" s="53"/>
      <c r="P116" s="53"/>
    </row>
    <row r="117" spans="2:16" hidden="1" x14ac:dyDescent="0.25">
      <c r="B117" s="393">
        <v>2048</v>
      </c>
      <c r="C117" s="387">
        <v>22</v>
      </c>
      <c r="D117" s="142">
        <v>28</v>
      </c>
      <c r="E117" s="475">
        <f t="shared" si="12"/>
        <v>0</v>
      </c>
      <c r="F117" s="427" t="e">
        <f>(('[1]Collision Data '!B$8*$E117*1*365)/1000000)</f>
        <v>#DIV/0!</v>
      </c>
      <c r="G117" s="417" t="e">
        <f>(('[1]Collision Data '!C$8*$E117*1*365)/1000000)</f>
        <v>#DIV/0!</v>
      </c>
      <c r="H117" s="428" t="e">
        <f>(('[1]Collision Data '!D$8*$E117*1*365)/1000000)</f>
        <v>#DIV/0!</v>
      </c>
      <c r="I117" s="427" t="e">
        <f>F117-(F117*'[1]Collision Data '!$B$19)</f>
        <v>#DIV/0!</v>
      </c>
      <c r="J117" s="417" t="e">
        <f>G117-(G117*'[1]Collision Data '!$B$19)</f>
        <v>#DIV/0!</v>
      </c>
      <c r="K117" s="428" t="e">
        <f>H117-(H117*'[1]Collision Data '!$B$19)</f>
        <v>#DIV/0!</v>
      </c>
      <c r="L117" s="483" t="e">
        <f>I117*[1]Parameters!$D$28*'[1]Collision Data '!$E$9</f>
        <v>#DIV/0!</v>
      </c>
      <c r="M117" s="484" t="e">
        <f>J117*[1]Parameters!$D$23*'[1]Collision Data '!$E$10</f>
        <v>#DIV/0!</v>
      </c>
      <c r="N117" s="485" t="e">
        <f>K117*[1]Parameters!$D$24*'[1]Collision Data '!$E$10</f>
        <v>#DIV/0!</v>
      </c>
      <c r="O117" s="53"/>
      <c r="P117" s="53"/>
    </row>
    <row r="118" spans="2:16" hidden="1" x14ac:dyDescent="0.25">
      <c r="B118" s="395">
        <v>2049</v>
      </c>
      <c r="C118" s="387">
        <v>23</v>
      </c>
      <c r="D118" s="142">
        <v>29</v>
      </c>
      <c r="E118" s="475">
        <f t="shared" si="12"/>
        <v>0</v>
      </c>
      <c r="F118" s="427" t="e">
        <f>(('[1]Collision Data '!B$8*$E118*1*365)/1000000)</f>
        <v>#DIV/0!</v>
      </c>
      <c r="G118" s="417" t="e">
        <f>(('[1]Collision Data '!C$8*$E118*1*365)/1000000)</f>
        <v>#DIV/0!</v>
      </c>
      <c r="H118" s="428" t="e">
        <f>(('[1]Collision Data '!D$8*$E118*1*365)/1000000)</f>
        <v>#DIV/0!</v>
      </c>
      <c r="I118" s="427" t="e">
        <f>F118-(F118*'[1]Collision Data '!$B$19)</f>
        <v>#DIV/0!</v>
      </c>
      <c r="J118" s="417" t="e">
        <f>G118-(G118*'[1]Collision Data '!$B$19)</f>
        <v>#DIV/0!</v>
      </c>
      <c r="K118" s="428" t="e">
        <f>H118-(H118*'[1]Collision Data '!$B$19)</f>
        <v>#DIV/0!</v>
      </c>
      <c r="L118" s="483" t="e">
        <f>I118*[1]Parameters!$D$28*'[1]Collision Data '!$E$9</f>
        <v>#DIV/0!</v>
      </c>
      <c r="M118" s="484" t="e">
        <f>J118*[1]Parameters!$D$23*'[1]Collision Data '!$E$10</f>
        <v>#DIV/0!</v>
      </c>
      <c r="N118" s="485" t="e">
        <f>K118*[1]Parameters!$D$24*'[1]Collision Data '!$E$10</f>
        <v>#DIV/0!</v>
      </c>
      <c r="O118" s="53"/>
      <c r="P118" s="53"/>
    </row>
    <row r="119" spans="2:16" hidden="1" x14ac:dyDescent="0.25">
      <c r="B119" s="393">
        <v>2050</v>
      </c>
      <c r="C119" s="387">
        <v>24</v>
      </c>
      <c r="D119" s="142">
        <v>30</v>
      </c>
      <c r="E119" s="475">
        <f t="shared" si="12"/>
        <v>0</v>
      </c>
      <c r="F119" s="427" t="e">
        <f>(('[1]Collision Data '!B$8*$E119*1*365)/1000000)</f>
        <v>#DIV/0!</v>
      </c>
      <c r="G119" s="417" t="e">
        <f>(('[1]Collision Data '!C$8*$E119*1*365)/1000000)</f>
        <v>#DIV/0!</v>
      </c>
      <c r="H119" s="428" t="e">
        <f>(('[1]Collision Data '!D$8*$E119*1*365)/1000000)</f>
        <v>#DIV/0!</v>
      </c>
      <c r="I119" s="427" t="e">
        <f>F119-(F119*'[1]Collision Data '!$B$19)</f>
        <v>#DIV/0!</v>
      </c>
      <c r="J119" s="417" t="e">
        <f>G119-(G119*'[1]Collision Data '!$B$19)</f>
        <v>#DIV/0!</v>
      </c>
      <c r="K119" s="428" t="e">
        <f>H119-(H119*'[1]Collision Data '!$B$19)</f>
        <v>#DIV/0!</v>
      </c>
      <c r="L119" s="483" t="e">
        <f>I119*[1]Parameters!$D$28*'[1]Collision Data '!$E$9</f>
        <v>#DIV/0!</v>
      </c>
      <c r="M119" s="484" t="e">
        <f>J119*[1]Parameters!$D$23*'[1]Collision Data '!$E$10</f>
        <v>#DIV/0!</v>
      </c>
      <c r="N119" s="485" t="e">
        <f>K119*[1]Parameters!$D$24*'[1]Collision Data '!$E$10</f>
        <v>#DIV/0!</v>
      </c>
      <c r="O119" s="53"/>
      <c r="P119" s="53"/>
    </row>
    <row r="120" spans="2:16" hidden="1" x14ac:dyDescent="0.25">
      <c r="B120" s="395">
        <v>2051</v>
      </c>
      <c r="C120" s="387">
        <v>25</v>
      </c>
      <c r="D120" s="142">
        <v>31</v>
      </c>
      <c r="E120" s="475">
        <f t="shared" si="12"/>
        <v>0</v>
      </c>
      <c r="F120" s="427" t="e">
        <f>(('[1]Collision Data '!B$8*$E120*1*365)/1000000)</f>
        <v>#DIV/0!</v>
      </c>
      <c r="G120" s="417" t="e">
        <f>(('[1]Collision Data '!C$8*$E120*1*365)/1000000)</f>
        <v>#DIV/0!</v>
      </c>
      <c r="H120" s="428" t="e">
        <f>(('[1]Collision Data '!D$8*$E120*1*365)/1000000)</f>
        <v>#DIV/0!</v>
      </c>
      <c r="I120" s="427" t="e">
        <f>F120-(F120*'[1]Collision Data '!$B$19)</f>
        <v>#DIV/0!</v>
      </c>
      <c r="J120" s="417" t="e">
        <f>G120-(G120*'[1]Collision Data '!$B$19)</f>
        <v>#DIV/0!</v>
      </c>
      <c r="K120" s="428" t="e">
        <f>H120-(H120*'[1]Collision Data '!$B$19)</f>
        <v>#DIV/0!</v>
      </c>
      <c r="L120" s="483" t="e">
        <f>I120*[1]Parameters!$D$28*'[1]Collision Data '!$E$9</f>
        <v>#DIV/0!</v>
      </c>
      <c r="M120" s="484" t="e">
        <f>J120*[1]Parameters!$D$23*'[1]Collision Data '!$E$10</f>
        <v>#DIV/0!</v>
      </c>
      <c r="N120" s="485" t="e">
        <f>K120*[1]Parameters!$D$24*'[1]Collision Data '!$E$10</f>
        <v>#DIV/0!</v>
      </c>
      <c r="O120" s="53"/>
      <c r="P120" s="53"/>
    </row>
    <row r="121" spans="2:16" hidden="1" x14ac:dyDescent="0.25">
      <c r="B121" s="393">
        <v>2052</v>
      </c>
      <c r="C121" s="387">
        <v>26</v>
      </c>
      <c r="D121" s="142">
        <v>32</v>
      </c>
      <c r="E121" s="475">
        <f t="shared" si="12"/>
        <v>0</v>
      </c>
      <c r="F121" s="427" t="e">
        <f>(('[1]Collision Data '!B$8*$E121*1*365)/1000000)</f>
        <v>#DIV/0!</v>
      </c>
      <c r="G121" s="417" t="e">
        <f>(('[1]Collision Data '!C$8*$E121*1*365)/1000000)</f>
        <v>#DIV/0!</v>
      </c>
      <c r="H121" s="428" t="e">
        <f>(('[1]Collision Data '!D$8*$E121*1*365)/1000000)</f>
        <v>#DIV/0!</v>
      </c>
      <c r="I121" s="427" t="e">
        <f>F121-(F121*'[1]Collision Data '!$B$19)</f>
        <v>#DIV/0!</v>
      </c>
      <c r="J121" s="417" t="e">
        <f>G121-(G121*'[1]Collision Data '!$B$19)</f>
        <v>#DIV/0!</v>
      </c>
      <c r="K121" s="428" t="e">
        <f>H121-(H121*'[1]Collision Data '!$B$19)</f>
        <v>#DIV/0!</v>
      </c>
      <c r="L121" s="483" t="e">
        <f>I121*[1]Parameters!$D$28*'[1]Collision Data '!$E$9</f>
        <v>#DIV/0!</v>
      </c>
      <c r="M121" s="484" t="e">
        <f>J121*[1]Parameters!$D$23*'[1]Collision Data '!$E$10</f>
        <v>#DIV/0!</v>
      </c>
      <c r="N121" s="485" t="e">
        <f>K121*[1]Parameters!$D$24*'[1]Collision Data '!$E$10</f>
        <v>#DIV/0!</v>
      </c>
      <c r="O121" s="53"/>
      <c r="P121" s="53"/>
    </row>
    <row r="122" spans="2:16" hidden="1" x14ac:dyDescent="0.25">
      <c r="B122" s="395">
        <v>2053</v>
      </c>
      <c r="C122" s="387">
        <v>27</v>
      </c>
      <c r="D122" s="142">
        <v>33</v>
      </c>
      <c r="E122" s="475">
        <f t="shared" si="12"/>
        <v>0</v>
      </c>
      <c r="F122" s="427" t="e">
        <f>(('[1]Collision Data '!B$8*$E122*1*365)/1000000)</f>
        <v>#DIV/0!</v>
      </c>
      <c r="G122" s="417" t="e">
        <f>(('[1]Collision Data '!C$8*$E122*1*365)/1000000)</f>
        <v>#DIV/0!</v>
      </c>
      <c r="H122" s="428" t="e">
        <f>(('[1]Collision Data '!D$8*$E122*1*365)/1000000)</f>
        <v>#DIV/0!</v>
      </c>
      <c r="I122" s="427" t="e">
        <f>F122-(F122*'[1]Collision Data '!$B$19)</f>
        <v>#DIV/0!</v>
      </c>
      <c r="J122" s="417" t="e">
        <f>G122-(G122*'[1]Collision Data '!$B$19)</f>
        <v>#DIV/0!</v>
      </c>
      <c r="K122" s="428" t="e">
        <f>H122-(H122*'[1]Collision Data '!$B$19)</f>
        <v>#DIV/0!</v>
      </c>
      <c r="L122" s="483" t="e">
        <f>I122*[1]Parameters!$D$28*'[1]Collision Data '!$E$9</f>
        <v>#DIV/0!</v>
      </c>
      <c r="M122" s="484" t="e">
        <f>J122*[1]Parameters!$D$23*'[1]Collision Data '!$E$10</f>
        <v>#DIV/0!</v>
      </c>
      <c r="N122" s="485" t="e">
        <f>K122*[1]Parameters!$D$24*'[1]Collision Data '!$E$10</f>
        <v>#DIV/0!</v>
      </c>
      <c r="O122" s="53"/>
      <c r="P122" s="53"/>
    </row>
    <row r="123" spans="2:16" hidden="1" x14ac:dyDescent="0.25">
      <c r="B123" s="393">
        <v>2054</v>
      </c>
      <c r="C123" s="387">
        <v>28</v>
      </c>
      <c r="D123" s="142">
        <v>34</v>
      </c>
      <c r="E123" s="475">
        <f t="shared" si="12"/>
        <v>0</v>
      </c>
      <c r="F123" s="427" t="e">
        <f>(('[1]Collision Data '!B$8*$E123*1*365)/1000000)</f>
        <v>#DIV/0!</v>
      </c>
      <c r="G123" s="417" t="e">
        <f>(('[1]Collision Data '!C$8*$E123*1*365)/1000000)</f>
        <v>#DIV/0!</v>
      </c>
      <c r="H123" s="428" t="e">
        <f>(('[1]Collision Data '!D$8*$E123*1*365)/1000000)</f>
        <v>#DIV/0!</v>
      </c>
      <c r="I123" s="427" t="e">
        <f>F123-(F123*'[1]Collision Data '!$B$19)</f>
        <v>#DIV/0!</v>
      </c>
      <c r="J123" s="417" t="e">
        <f>G123-(G123*'[1]Collision Data '!$B$19)</f>
        <v>#DIV/0!</v>
      </c>
      <c r="K123" s="428" t="e">
        <f>H123-(H123*'[1]Collision Data '!$B$19)</f>
        <v>#DIV/0!</v>
      </c>
      <c r="L123" s="483" t="e">
        <f>I123*[1]Parameters!$D$28*'[1]Collision Data '!$E$9</f>
        <v>#DIV/0!</v>
      </c>
      <c r="M123" s="484" t="e">
        <f>J123*[1]Parameters!$D$23*'[1]Collision Data '!$E$10</f>
        <v>#DIV/0!</v>
      </c>
      <c r="N123" s="485" t="e">
        <f>K123*[1]Parameters!$D$24*'[1]Collision Data '!$E$10</f>
        <v>#DIV/0!</v>
      </c>
      <c r="O123" s="53"/>
      <c r="P123" s="53"/>
    </row>
    <row r="124" spans="2:16" hidden="1" x14ac:dyDescent="0.25">
      <c r="B124" s="395">
        <v>2055</v>
      </c>
      <c r="C124" s="387">
        <v>29</v>
      </c>
      <c r="D124" s="142">
        <v>35</v>
      </c>
      <c r="E124" s="475">
        <f t="shared" si="12"/>
        <v>0</v>
      </c>
      <c r="F124" s="427" t="e">
        <f>(('[1]Collision Data '!B$8*$E124*1*365)/1000000)</f>
        <v>#DIV/0!</v>
      </c>
      <c r="G124" s="417" t="e">
        <f>(('[1]Collision Data '!C$8*$E124*1*365)/1000000)</f>
        <v>#DIV/0!</v>
      </c>
      <c r="H124" s="428" t="e">
        <f>(('[1]Collision Data '!D$8*$E124*1*365)/1000000)</f>
        <v>#DIV/0!</v>
      </c>
      <c r="I124" s="427" t="e">
        <f>F124-(F124*'[1]Collision Data '!$B$19)</f>
        <v>#DIV/0!</v>
      </c>
      <c r="J124" s="417" t="e">
        <f>G124-(G124*'[1]Collision Data '!$B$19)</f>
        <v>#DIV/0!</v>
      </c>
      <c r="K124" s="428" t="e">
        <f>H124-(H124*'[1]Collision Data '!$B$19)</f>
        <v>#DIV/0!</v>
      </c>
      <c r="L124" s="483" t="e">
        <f>I124*[1]Parameters!$D$28*'[1]Collision Data '!$E$9</f>
        <v>#DIV/0!</v>
      </c>
      <c r="M124" s="484" t="e">
        <f>J124*[1]Parameters!$D$23*'[1]Collision Data '!$E$10</f>
        <v>#DIV/0!</v>
      </c>
      <c r="N124" s="485" t="e">
        <f>K124*[1]Parameters!$D$24*'[1]Collision Data '!$E$10</f>
        <v>#DIV/0!</v>
      </c>
      <c r="O124" s="53"/>
      <c r="P124" s="53"/>
    </row>
    <row r="125" spans="2:16" hidden="1" x14ac:dyDescent="0.25">
      <c r="B125" s="393">
        <v>2056</v>
      </c>
      <c r="C125" s="387">
        <v>30</v>
      </c>
      <c r="D125" s="142">
        <v>36</v>
      </c>
      <c r="E125" s="475">
        <f t="shared" si="12"/>
        <v>0</v>
      </c>
      <c r="F125" s="427" t="e">
        <f>(('[1]Collision Data '!B$8*$E125*1*365)/1000000)</f>
        <v>#DIV/0!</v>
      </c>
      <c r="G125" s="417" t="e">
        <f>(('[1]Collision Data '!C$8*$E125*1*365)/1000000)</f>
        <v>#DIV/0!</v>
      </c>
      <c r="H125" s="428" t="e">
        <f>(('[1]Collision Data '!D$8*$E125*1*365)/1000000)</f>
        <v>#DIV/0!</v>
      </c>
      <c r="I125" s="427" t="e">
        <f>F125-(F125*'[1]Collision Data '!$B$19)</f>
        <v>#DIV/0!</v>
      </c>
      <c r="J125" s="417" t="e">
        <f>G125-(G125*'[1]Collision Data '!$B$19)</f>
        <v>#DIV/0!</v>
      </c>
      <c r="K125" s="428" t="e">
        <f>H125-(H125*'[1]Collision Data '!$B$19)</f>
        <v>#DIV/0!</v>
      </c>
      <c r="L125" s="483" t="e">
        <f>I125*[1]Parameters!$D$28*'[1]Collision Data '!$E$9</f>
        <v>#DIV/0!</v>
      </c>
      <c r="M125" s="484" t="e">
        <f>J125*[1]Parameters!$D$23*'[1]Collision Data '!$E$10</f>
        <v>#DIV/0!</v>
      </c>
      <c r="N125" s="485" t="e">
        <f>K125*[1]Parameters!$D$24*'[1]Collision Data '!$E$10</f>
        <v>#DIV/0!</v>
      </c>
      <c r="O125" s="53"/>
      <c r="P125" s="53"/>
    </row>
    <row r="126" spans="2:16" ht="15.75" hidden="1" thickBot="1" x14ac:dyDescent="0.3">
      <c r="B126" s="397">
        <v>2057</v>
      </c>
      <c r="C126" s="398">
        <v>31</v>
      </c>
      <c r="D126" s="143">
        <v>37</v>
      </c>
      <c r="E126" s="477">
        <f t="shared" si="12"/>
        <v>0</v>
      </c>
      <c r="F126" s="429" t="e">
        <f>(('[1]Collision Data '!B$8*$E126*1*365)/1000000)</f>
        <v>#DIV/0!</v>
      </c>
      <c r="G126" s="419" t="e">
        <f>(('[1]Collision Data '!C$8*$E126*1*365)/1000000)</f>
        <v>#DIV/0!</v>
      </c>
      <c r="H126" s="430" t="e">
        <f>(('[1]Collision Data '!D$8*$E126*1*365)/1000000)</f>
        <v>#DIV/0!</v>
      </c>
      <c r="I126" s="429" t="e">
        <f>F126-(F126*'[1]Collision Data '!$B$19)</f>
        <v>#DIV/0!</v>
      </c>
      <c r="J126" s="419" t="e">
        <f>G126-(G126*'[1]Collision Data '!$B$19)</f>
        <v>#DIV/0!</v>
      </c>
      <c r="K126" s="430" t="e">
        <f>H126-(H126*'[1]Collision Data '!$B$19)</f>
        <v>#DIV/0!</v>
      </c>
      <c r="L126" s="490" t="e">
        <f>I126*[1]Parameters!$D$28*'[1]Collision Data '!$E$9</f>
        <v>#DIV/0!</v>
      </c>
      <c r="M126" s="491" t="e">
        <f>J126*[1]Parameters!$D$23*'[1]Collision Data '!$E$10</f>
        <v>#DIV/0!</v>
      </c>
      <c r="N126" s="492" t="e">
        <f>K126*[1]Parameters!$D$24*'[1]Collision Data '!$E$10</f>
        <v>#DIV/0!</v>
      </c>
      <c r="O126" s="53"/>
      <c r="P126" s="53"/>
    </row>
    <row r="127" spans="2:16" ht="15.75" hidden="1" thickBot="1" x14ac:dyDescent="0.3">
      <c r="F127" s="306" t="e">
        <f>SUM(F90:F126)</f>
        <v>#DIV/0!</v>
      </c>
      <c r="G127" s="306" t="e">
        <f t="shared" ref="G127:K127" si="13">SUM(G90:G126)</f>
        <v>#DIV/0!</v>
      </c>
      <c r="H127" s="306" t="e">
        <f t="shared" si="13"/>
        <v>#DIV/0!</v>
      </c>
      <c r="I127" s="306" t="e">
        <f t="shared" si="13"/>
        <v>#DIV/0!</v>
      </c>
      <c r="J127" s="306" t="e">
        <f t="shared" si="13"/>
        <v>#DIV/0!</v>
      </c>
      <c r="K127" s="306" t="e">
        <f t="shared" si="13"/>
        <v>#DIV/0!</v>
      </c>
      <c r="L127" s="5" t="e">
        <f>SUM(L90:L126)</f>
        <v>#DIV/0!</v>
      </c>
      <c r="M127" s="8" t="e">
        <f>SUM(M90:M126)</f>
        <v>#DIV/0!</v>
      </c>
      <c r="N127" s="4" t="e">
        <f>SUM(N90:N126)</f>
        <v>#DIV/0!</v>
      </c>
      <c r="O127" s="493"/>
      <c r="P127" s="493"/>
    </row>
    <row r="128" spans="2:16" hidden="1" x14ac:dyDescent="0.25">
      <c r="F128" s="306"/>
      <c r="G128" s="306"/>
      <c r="H128" s="306"/>
      <c r="I128" s="306" t="e">
        <f>F127-I127</f>
        <v>#DIV/0!</v>
      </c>
      <c r="J128" s="306" t="e">
        <f>G127-J127</f>
        <v>#DIV/0!</v>
      </c>
      <c r="K128" s="306" t="e">
        <f t="shared" ref="K128" si="14">H127-K127</f>
        <v>#DIV/0!</v>
      </c>
      <c r="L128" s="493"/>
      <c r="M128" s="493"/>
      <c r="N128" s="493"/>
      <c r="O128" s="493"/>
      <c r="P128" s="493"/>
    </row>
    <row r="129" spans="2:10" ht="15.75" thickBot="1" x14ac:dyDescent="0.3">
      <c r="B129" s="18" t="s">
        <v>141</v>
      </c>
    </row>
    <row r="130" spans="2:10" x14ac:dyDescent="0.25">
      <c r="B130" s="574" t="s">
        <v>1</v>
      </c>
      <c r="C130" s="576" t="s">
        <v>2</v>
      </c>
      <c r="D130" s="578" t="s">
        <v>22</v>
      </c>
      <c r="E130" s="580" t="s">
        <v>192</v>
      </c>
      <c r="F130" s="573"/>
      <c r="G130" s="573"/>
      <c r="H130" s="581"/>
      <c r="I130" s="582" t="s">
        <v>137</v>
      </c>
    </row>
    <row r="131" spans="2:10" ht="15.75" thickBot="1" x14ac:dyDescent="0.3">
      <c r="B131" s="575"/>
      <c r="C131" s="577"/>
      <c r="D131" s="579"/>
      <c r="E131" s="380" t="s">
        <v>35</v>
      </c>
      <c r="F131" s="381" t="s">
        <v>36</v>
      </c>
      <c r="G131" s="381" t="s">
        <v>37</v>
      </c>
      <c r="H131" s="104" t="s">
        <v>18</v>
      </c>
      <c r="I131" s="583"/>
    </row>
    <row r="132" spans="2:10" x14ac:dyDescent="0.25">
      <c r="B132" s="389">
        <v>2021</v>
      </c>
      <c r="C132" s="384">
        <v>0</v>
      </c>
      <c r="D132" s="139">
        <v>1</v>
      </c>
      <c r="E132" s="438">
        <f t="shared" ref="E132:G133" si="15">L6</f>
        <v>0</v>
      </c>
      <c r="F132" s="437">
        <f t="shared" si="15"/>
        <v>0</v>
      </c>
      <c r="G132" s="437">
        <f t="shared" si="15"/>
        <v>0</v>
      </c>
      <c r="H132" s="494">
        <f t="shared" ref="H132:H168" si="16">SUM(E132:G132)</f>
        <v>0</v>
      </c>
      <c r="I132" s="495">
        <f>H132/(1.07^($B132-$B$132))</f>
        <v>0</v>
      </c>
    </row>
    <row r="133" spans="2:10" x14ac:dyDescent="0.25">
      <c r="B133" s="389">
        <v>2022</v>
      </c>
      <c r="C133" s="384">
        <v>0</v>
      </c>
      <c r="D133" s="139">
        <v>2</v>
      </c>
      <c r="E133" s="438">
        <f t="shared" si="15"/>
        <v>0</v>
      </c>
      <c r="F133" s="437">
        <f t="shared" si="15"/>
        <v>0</v>
      </c>
      <c r="G133" s="437">
        <f t="shared" si="15"/>
        <v>0</v>
      </c>
      <c r="H133" s="494">
        <f t="shared" si="16"/>
        <v>0</v>
      </c>
      <c r="I133" s="495">
        <f t="shared" ref="I133:I168" si="17">H133/(1.07^($B133-$B$132))</f>
        <v>0</v>
      </c>
    </row>
    <row r="134" spans="2:10" x14ac:dyDescent="0.25">
      <c r="B134" s="389">
        <v>2023</v>
      </c>
      <c r="C134" s="384">
        <v>0</v>
      </c>
      <c r="D134" s="139">
        <v>3</v>
      </c>
      <c r="E134" s="438">
        <f t="shared" ref="E134:E168" si="18">L8</f>
        <v>0</v>
      </c>
      <c r="F134" s="437">
        <f t="shared" ref="F134:F168" si="19">M8</f>
        <v>0</v>
      </c>
      <c r="G134" s="437">
        <f t="shared" ref="G134:G168" si="20">N8</f>
        <v>0</v>
      </c>
      <c r="H134" s="494">
        <f t="shared" si="16"/>
        <v>0</v>
      </c>
      <c r="I134" s="495">
        <f t="shared" si="17"/>
        <v>0</v>
      </c>
    </row>
    <row r="135" spans="2:10" x14ac:dyDescent="0.25">
      <c r="B135" s="389">
        <v>2024</v>
      </c>
      <c r="C135" s="384">
        <v>0</v>
      </c>
      <c r="D135" s="139">
        <v>4</v>
      </c>
      <c r="E135" s="438">
        <f t="shared" si="18"/>
        <v>0</v>
      </c>
      <c r="F135" s="437">
        <f t="shared" si="19"/>
        <v>0</v>
      </c>
      <c r="G135" s="437">
        <f t="shared" si="20"/>
        <v>0</v>
      </c>
      <c r="H135" s="494">
        <f t="shared" si="16"/>
        <v>0</v>
      </c>
      <c r="I135" s="495">
        <f t="shared" si="17"/>
        <v>0</v>
      </c>
    </row>
    <row r="136" spans="2:10" x14ac:dyDescent="0.25">
      <c r="B136" s="389">
        <v>2025</v>
      </c>
      <c r="C136" s="384">
        <v>0</v>
      </c>
      <c r="D136" s="139">
        <v>5</v>
      </c>
      <c r="E136" s="438">
        <f t="shared" si="18"/>
        <v>0</v>
      </c>
      <c r="F136" s="437">
        <f t="shared" si="19"/>
        <v>0</v>
      </c>
      <c r="G136" s="437">
        <f t="shared" si="20"/>
        <v>0</v>
      </c>
      <c r="H136" s="494">
        <f t="shared" si="16"/>
        <v>0</v>
      </c>
      <c r="I136" s="495">
        <f t="shared" si="17"/>
        <v>0</v>
      </c>
    </row>
    <row r="137" spans="2:10" x14ac:dyDescent="0.25">
      <c r="B137" s="389">
        <v>2026</v>
      </c>
      <c r="C137" s="384">
        <v>0</v>
      </c>
      <c r="D137" s="139">
        <v>6</v>
      </c>
      <c r="E137" s="438">
        <f t="shared" si="18"/>
        <v>0</v>
      </c>
      <c r="F137" s="437">
        <f t="shared" si="19"/>
        <v>0</v>
      </c>
      <c r="G137" s="437">
        <f t="shared" si="20"/>
        <v>0</v>
      </c>
      <c r="H137" s="494">
        <f t="shared" si="16"/>
        <v>0</v>
      </c>
      <c r="I137" s="495">
        <f t="shared" si="17"/>
        <v>0</v>
      </c>
    </row>
    <row r="138" spans="2:10" x14ac:dyDescent="0.25">
      <c r="B138" s="389">
        <v>2027</v>
      </c>
      <c r="C138" s="384">
        <v>0</v>
      </c>
      <c r="D138" s="139">
        <v>7</v>
      </c>
      <c r="E138" s="438">
        <f t="shared" si="18"/>
        <v>0</v>
      </c>
      <c r="F138" s="437">
        <f t="shared" si="19"/>
        <v>0</v>
      </c>
      <c r="G138" s="437">
        <f t="shared" si="20"/>
        <v>0</v>
      </c>
      <c r="H138" s="494">
        <f t="shared" si="16"/>
        <v>0</v>
      </c>
      <c r="I138" s="495">
        <f t="shared" si="17"/>
        <v>0</v>
      </c>
    </row>
    <row r="139" spans="2:10" x14ac:dyDescent="0.25">
      <c r="B139" s="391">
        <v>2028</v>
      </c>
      <c r="C139" s="385">
        <v>1</v>
      </c>
      <c r="D139" s="140">
        <v>8</v>
      </c>
      <c r="E139" s="340">
        <f t="shared" si="18"/>
        <v>1167712.0038433608</v>
      </c>
      <c r="F139" s="341">
        <f t="shared" si="19"/>
        <v>17067332.695908945</v>
      </c>
      <c r="G139" s="341">
        <f t="shared" si="20"/>
        <v>10647922.745541651</v>
      </c>
      <c r="H139" s="496">
        <f t="shared" si="16"/>
        <v>28882967.445293956</v>
      </c>
      <c r="I139" s="497">
        <f t="shared" si="17"/>
        <v>17986860.52141786</v>
      </c>
      <c r="J139" s="378" t="s">
        <v>51</v>
      </c>
    </row>
    <row r="140" spans="2:10" x14ac:dyDescent="0.25">
      <c r="B140" s="393">
        <v>2029</v>
      </c>
      <c r="C140" s="386">
        <v>2</v>
      </c>
      <c r="D140" s="141">
        <v>9</v>
      </c>
      <c r="E140" s="438">
        <f t="shared" si="18"/>
        <v>1173550.5638625775</v>
      </c>
      <c r="F140" s="437">
        <f t="shared" si="19"/>
        <v>17152669.359388486</v>
      </c>
      <c r="G140" s="437">
        <f t="shared" si="20"/>
        <v>10701162.359269356</v>
      </c>
      <c r="H140" s="498">
        <f t="shared" si="16"/>
        <v>29027382.282520421</v>
      </c>
      <c r="I140" s="499">
        <f t="shared" si="17"/>
        <v>16894200.770116773</v>
      </c>
      <c r="J140" s="379"/>
    </row>
    <row r="141" spans="2:10" x14ac:dyDescent="0.25">
      <c r="B141" s="395">
        <v>2030</v>
      </c>
      <c r="C141" s="387">
        <v>3</v>
      </c>
      <c r="D141" s="142">
        <v>10</v>
      </c>
      <c r="E141" s="438">
        <f t="shared" si="18"/>
        <v>1179418.3166818903</v>
      </c>
      <c r="F141" s="437">
        <f t="shared" si="19"/>
        <v>17238432.706185423</v>
      </c>
      <c r="G141" s="437">
        <f t="shared" si="20"/>
        <v>10754668.171065701</v>
      </c>
      <c r="H141" s="498">
        <f t="shared" si="16"/>
        <v>29172519.193933018</v>
      </c>
      <c r="I141" s="499">
        <f t="shared" si="17"/>
        <v>15867917.545763878</v>
      </c>
      <c r="J141" s="379"/>
    </row>
    <row r="142" spans="2:10" x14ac:dyDescent="0.25">
      <c r="B142" s="393">
        <v>2031</v>
      </c>
      <c r="C142" s="387">
        <v>4</v>
      </c>
      <c r="D142" s="142">
        <v>11</v>
      </c>
      <c r="E142" s="438">
        <f t="shared" si="18"/>
        <v>1185315.4082652992</v>
      </c>
      <c r="F142" s="437">
        <f t="shared" si="19"/>
        <v>17324624.869716346</v>
      </c>
      <c r="G142" s="437">
        <f t="shared" si="20"/>
        <v>10808441.511921031</v>
      </c>
      <c r="H142" s="498">
        <f t="shared" si="16"/>
        <v>29318381.78990268</v>
      </c>
      <c r="I142" s="499">
        <f t="shared" si="17"/>
        <v>14903978.629432429</v>
      </c>
      <c r="J142" s="379"/>
    </row>
    <row r="143" spans="2:10" x14ac:dyDescent="0.25">
      <c r="B143" s="395">
        <v>2032</v>
      </c>
      <c r="C143" s="387">
        <v>5</v>
      </c>
      <c r="D143" s="142">
        <v>12</v>
      </c>
      <c r="E143" s="438">
        <f t="shared" si="18"/>
        <v>1191241.9853066257</v>
      </c>
      <c r="F143" s="437">
        <f t="shared" si="19"/>
        <v>17411247.994064931</v>
      </c>
      <c r="G143" s="437">
        <f t="shared" si="20"/>
        <v>10862483.719480632</v>
      </c>
      <c r="H143" s="498">
        <f t="shared" si="16"/>
        <v>29464973.698852189</v>
      </c>
      <c r="I143" s="499">
        <f t="shared" si="17"/>
        <v>13998596.750074379</v>
      </c>
      <c r="J143" s="379"/>
    </row>
    <row r="144" spans="2:10" x14ac:dyDescent="0.25">
      <c r="B144" s="393">
        <v>2033</v>
      </c>
      <c r="C144" s="387">
        <v>6</v>
      </c>
      <c r="D144" s="142">
        <v>13</v>
      </c>
      <c r="E144" s="438">
        <f t="shared" si="18"/>
        <v>1197198.1952331585</v>
      </c>
      <c r="F144" s="437">
        <f t="shared" si="19"/>
        <v>17498304.234035246</v>
      </c>
      <c r="G144" s="437">
        <f t="shared" si="20"/>
        <v>10916796.13807803</v>
      </c>
      <c r="H144" s="498">
        <f t="shared" si="16"/>
        <v>29612298.567346435</v>
      </c>
      <c r="I144" s="499">
        <f t="shared" si="17"/>
        <v>13148214.704509109</v>
      </c>
      <c r="J144" s="379"/>
    </row>
    <row r="145" spans="2:10" x14ac:dyDescent="0.25">
      <c r="B145" s="395">
        <v>2034</v>
      </c>
      <c r="C145" s="387">
        <v>7</v>
      </c>
      <c r="D145" s="142">
        <v>14</v>
      </c>
      <c r="E145" s="438">
        <f t="shared" si="18"/>
        <v>1203184.1862093243</v>
      </c>
      <c r="F145" s="437">
        <f t="shared" si="19"/>
        <v>17585795.755205423</v>
      </c>
      <c r="G145" s="437">
        <f t="shared" si="20"/>
        <v>10971380.118768422</v>
      </c>
      <c r="H145" s="498">
        <f t="shared" si="16"/>
        <v>29760360.060183167</v>
      </c>
      <c r="I145" s="499">
        <f t="shared" si="17"/>
        <v>12349491.381337995</v>
      </c>
      <c r="J145" s="379"/>
    </row>
    <row r="146" spans="2:10" x14ac:dyDescent="0.25">
      <c r="B146" s="393">
        <v>2035</v>
      </c>
      <c r="C146" s="387">
        <v>8</v>
      </c>
      <c r="D146" s="142">
        <v>15</v>
      </c>
      <c r="E146" s="438">
        <f t="shared" si="18"/>
        <v>1209200.1071403709</v>
      </c>
      <c r="F146" s="437">
        <f t="shared" si="19"/>
        <v>17673724.733981445</v>
      </c>
      <c r="G146" s="437">
        <f t="shared" si="20"/>
        <v>11026237.01936226</v>
      </c>
      <c r="H146" s="498">
        <f t="shared" si="16"/>
        <v>29909161.860484075</v>
      </c>
      <c r="I146" s="499">
        <f t="shared" si="17"/>
        <v>11599288.633873533</v>
      </c>
      <c r="J146" s="379"/>
    </row>
    <row r="147" spans="2:10" x14ac:dyDescent="0.25">
      <c r="B147" s="395">
        <v>2036</v>
      </c>
      <c r="C147" s="387">
        <v>9</v>
      </c>
      <c r="D147" s="142">
        <v>16</v>
      </c>
      <c r="E147" s="438">
        <f t="shared" si="18"/>
        <v>1215246.1076760725</v>
      </c>
      <c r="F147" s="437">
        <f t="shared" si="19"/>
        <v>17762093.357651349</v>
      </c>
      <c r="G147" s="437">
        <f t="shared" si="20"/>
        <v>11081368.204459075</v>
      </c>
      <c r="H147" s="498">
        <f t="shared" si="16"/>
        <v>30058707.669786498</v>
      </c>
      <c r="I147" s="499">
        <f t="shared" si="17"/>
        <v>10894658.950507384</v>
      </c>
      <c r="J147" s="379"/>
    </row>
    <row r="148" spans="2:10" x14ac:dyDescent="0.25">
      <c r="B148" s="393">
        <v>2037</v>
      </c>
      <c r="C148" s="387">
        <v>10</v>
      </c>
      <c r="D148" s="142">
        <v>17</v>
      </c>
      <c r="E148" s="438">
        <f t="shared" si="18"/>
        <v>1221322.3382144526</v>
      </c>
      <c r="F148" s="437">
        <f t="shared" si="19"/>
        <v>17850903.824439608</v>
      </c>
      <c r="G148" s="437">
        <f t="shared" si="20"/>
        <v>11136775.045481367</v>
      </c>
      <c r="H148" s="498">
        <f t="shared" si="16"/>
        <v>30209001.208135426</v>
      </c>
      <c r="I148" s="499">
        <f t="shared" si="17"/>
        <v>10232833.874074692</v>
      </c>
      <c r="J148" s="379"/>
    </row>
    <row r="149" spans="2:10" x14ac:dyDescent="0.25">
      <c r="B149" s="395">
        <v>2038</v>
      </c>
      <c r="C149" s="387">
        <v>11</v>
      </c>
      <c r="D149" s="142">
        <v>18</v>
      </c>
      <c r="E149" s="438">
        <f t="shared" si="18"/>
        <v>1227428.949905525</v>
      </c>
      <c r="F149" s="437">
        <f t="shared" si="19"/>
        <v>17940158.343561802</v>
      </c>
      <c r="G149" s="437">
        <f t="shared" si="20"/>
        <v>11192458.920708772</v>
      </c>
      <c r="H149" s="498">
        <f t="shared" si="16"/>
        <v>30360046.2141761</v>
      </c>
      <c r="I149" s="499">
        <f t="shared" si="17"/>
        <v>9611213.1247150134</v>
      </c>
      <c r="J149" s="379"/>
    </row>
    <row r="150" spans="2:10" x14ac:dyDescent="0.25">
      <c r="B150" s="393">
        <v>2039</v>
      </c>
      <c r="C150" s="387">
        <v>12</v>
      </c>
      <c r="D150" s="142">
        <v>19</v>
      </c>
      <c r="E150" s="438">
        <f t="shared" si="18"/>
        <v>1233566.0946550523</v>
      </c>
      <c r="F150" s="437">
        <f t="shared" si="19"/>
        <v>18029859.135279607</v>
      </c>
      <c r="G150" s="437">
        <f t="shared" si="20"/>
        <v>11248421.215312313</v>
      </c>
      <c r="H150" s="498">
        <f t="shared" si="16"/>
        <v>30511846.445246972</v>
      </c>
      <c r="I150" s="499">
        <f t="shared" si="17"/>
        <v>9027354.3834940065</v>
      </c>
      <c r="J150" s="379"/>
    </row>
    <row r="151" spans="2:10" x14ac:dyDescent="0.25">
      <c r="B151" s="395">
        <v>2040</v>
      </c>
      <c r="C151" s="387">
        <v>13</v>
      </c>
      <c r="D151" s="142">
        <v>20</v>
      </c>
      <c r="E151" s="438">
        <f t="shared" si="18"/>
        <v>1239733.925128327</v>
      </c>
      <c r="F151" s="437">
        <f t="shared" si="19"/>
        <v>18120008.430956002</v>
      </c>
      <c r="G151" s="437">
        <f t="shared" si="20"/>
        <v>11304663.321388872</v>
      </c>
      <c r="H151" s="498">
        <f t="shared" si="16"/>
        <v>30664405.677473202</v>
      </c>
      <c r="I151" s="499">
        <f t="shared" si="17"/>
        <v>8478963.6966462377</v>
      </c>
      <c r="J151" s="379"/>
    </row>
    <row r="152" spans="2:10" x14ac:dyDescent="0.25">
      <c r="B152" s="393">
        <v>2041</v>
      </c>
      <c r="C152" s="387">
        <v>14</v>
      </c>
      <c r="D152" s="142">
        <v>21</v>
      </c>
      <c r="E152" s="438">
        <f t="shared" si="18"/>
        <v>1245932.5947539688</v>
      </c>
      <c r="F152" s="437">
        <f t="shared" si="19"/>
        <v>18210608.47311078</v>
      </c>
      <c r="G152" s="437">
        <f t="shared" si="20"/>
        <v>11361186.637995819</v>
      </c>
      <c r="H152" s="498">
        <f t="shared" si="16"/>
        <v>30817727.70586057</v>
      </c>
      <c r="I152" s="499">
        <f t="shared" si="17"/>
        <v>7963886.462737822</v>
      </c>
      <c r="J152" s="379"/>
    </row>
    <row r="153" spans="2:10" x14ac:dyDescent="0.25">
      <c r="B153" s="395">
        <v>2042</v>
      </c>
      <c r="C153" s="387">
        <v>15</v>
      </c>
      <c r="D153" s="142">
        <v>22</v>
      </c>
      <c r="E153" s="438">
        <f t="shared" si="18"/>
        <v>1252162.2577277385</v>
      </c>
      <c r="F153" s="437">
        <f t="shared" si="19"/>
        <v>18301661.515476339</v>
      </c>
      <c r="G153" s="437">
        <f t="shared" si="20"/>
        <v>11417992.571185796</v>
      </c>
      <c r="H153" s="498">
        <f t="shared" si="16"/>
        <v>30971816.344389871</v>
      </c>
      <c r="I153" s="499">
        <f t="shared" si="17"/>
        <v>7480098.9673378598</v>
      </c>
      <c r="J153" s="379"/>
    </row>
    <row r="154" spans="2:10" x14ac:dyDescent="0.25">
      <c r="B154" s="393">
        <v>2043</v>
      </c>
      <c r="C154" s="387">
        <v>16</v>
      </c>
      <c r="D154" s="142">
        <v>23</v>
      </c>
      <c r="E154" s="438">
        <f t="shared" si="18"/>
        <v>1258423.0690163767</v>
      </c>
      <c r="F154" s="437">
        <f t="shared" si="19"/>
        <v>18393169.82305371</v>
      </c>
      <c r="G154" s="437">
        <f t="shared" si="20"/>
        <v>11475082.534041718</v>
      </c>
      <c r="H154" s="498">
        <f t="shared" si="16"/>
        <v>31126675.426111806</v>
      </c>
      <c r="I154" s="499">
        <f t="shared" si="17"/>
        <v>7025700.431938828</v>
      </c>
      <c r="J154" s="379"/>
    </row>
    <row r="155" spans="2:10" x14ac:dyDescent="0.25">
      <c r="B155" s="395">
        <v>2044</v>
      </c>
      <c r="C155" s="387">
        <v>17</v>
      </c>
      <c r="D155" s="142">
        <v>24</v>
      </c>
      <c r="E155" s="438">
        <f t="shared" si="18"/>
        <v>1264715.1843614585</v>
      </c>
      <c r="F155" s="437">
        <f t="shared" si="19"/>
        <v>18485135.672168978</v>
      </c>
      <c r="G155" s="437">
        <f t="shared" si="20"/>
        <v>11532457.94671193</v>
      </c>
      <c r="H155" s="498">
        <f t="shared" si="16"/>
        <v>31282308.803242363</v>
      </c>
      <c r="I155" s="499">
        <f t="shared" si="17"/>
        <v>6598905.5458864691</v>
      </c>
      <c r="J155" s="379"/>
    </row>
    <row r="156" spans="2:10" x14ac:dyDescent="0.25">
      <c r="B156" s="393">
        <v>2045</v>
      </c>
      <c r="C156" s="387">
        <v>18</v>
      </c>
      <c r="D156" s="142">
        <v>25</v>
      </c>
      <c r="E156" s="438">
        <f t="shared" si="18"/>
        <v>1271038.7602832657</v>
      </c>
      <c r="F156" s="437">
        <f t="shared" si="19"/>
        <v>18577561.350529823</v>
      </c>
      <c r="G156" s="437">
        <f t="shared" si="20"/>
        <v>11590120.236445485</v>
      </c>
      <c r="H156" s="498">
        <f t="shared" si="16"/>
        <v>31438720.347258575</v>
      </c>
      <c r="I156" s="499">
        <f t="shared" si="17"/>
        <v>6198037.4519774774</v>
      </c>
      <c r="J156" s="379"/>
    </row>
    <row r="157" spans="2:10" x14ac:dyDescent="0.25">
      <c r="B157" s="395">
        <v>2046</v>
      </c>
      <c r="C157" s="387">
        <v>19</v>
      </c>
      <c r="D157" s="142">
        <v>26</v>
      </c>
      <c r="E157" s="438">
        <f t="shared" si="18"/>
        <v>1277393.9540846818</v>
      </c>
      <c r="F157" s="437">
        <f t="shared" si="19"/>
        <v>18670449.15728246</v>
      </c>
      <c r="G157" s="437">
        <f t="shared" si="20"/>
        <v>11648070.837627711</v>
      </c>
      <c r="H157" s="498">
        <f t="shared" si="16"/>
        <v>31595913.948994853</v>
      </c>
      <c r="I157" s="499">
        <f t="shared" si="17"/>
        <v>5821521.1581657585</v>
      </c>
      <c r="J157" s="379"/>
    </row>
    <row r="158" spans="2:10" x14ac:dyDescent="0.25">
      <c r="B158" s="393">
        <v>2047</v>
      </c>
      <c r="C158" s="387">
        <v>20</v>
      </c>
      <c r="D158" s="142">
        <v>27</v>
      </c>
      <c r="E158" s="438">
        <f t="shared" si="18"/>
        <v>1283780.9238551049</v>
      </c>
      <c r="F158" s="437">
        <f t="shared" si="19"/>
        <v>18763801.40306887</v>
      </c>
      <c r="G158" s="437">
        <f t="shared" si="20"/>
        <v>11706311.191815849</v>
      </c>
      <c r="H158" s="498">
        <f t="shared" si="16"/>
        <v>31753893.518739823</v>
      </c>
      <c r="I158" s="499">
        <f t="shared" si="17"/>
        <v>5467877.3494921373</v>
      </c>
      <c r="J158" s="379"/>
    </row>
    <row r="159" spans="2:10" x14ac:dyDescent="0.25">
      <c r="B159" s="391">
        <v>2048</v>
      </c>
      <c r="C159" s="385">
        <v>21</v>
      </c>
      <c r="D159" s="385">
        <v>28</v>
      </c>
      <c r="E159" s="340">
        <f t="shared" si="18"/>
        <v>1290199.8284743803</v>
      </c>
      <c r="F159" s="341">
        <f t="shared" si="19"/>
        <v>18857620.410084218</v>
      </c>
      <c r="G159" s="341">
        <f t="shared" si="20"/>
        <v>11764842.747774925</v>
      </c>
      <c r="H159" s="496">
        <f t="shared" si="16"/>
        <v>31912662.986333523</v>
      </c>
      <c r="I159" s="497">
        <f t="shared" si="17"/>
        <v>5135716.5759248566</v>
      </c>
    </row>
    <row r="160" spans="2:10" x14ac:dyDescent="0.25">
      <c r="B160" s="393">
        <v>2049</v>
      </c>
      <c r="C160" s="387">
        <v>22</v>
      </c>
      <c r="D160" s="142">
        <v>29</v>
      </c>
      <c r="E160" s="438">
        <f t="shared" si="18"/>
        <v>1296650.8276167519</v>
      </c>
      <c r="F160" s="437">
        <f t="shared" si="19"/>
        <v>18951908.51213463</v>
      </c>
      <c r="G160" s="437">
        <f t="shared" si="20"/>
        <v>11823666.961513799</v>
      </c>
      <c r="H160" s="498">
        <f t="shared" si="16"/>
        <v>32072226.30126518</v>
      </c>
      <c r="I160" s="499">
        <f t="shared" si="17"/>
        <v>4823733.7932752157</v>
      </c>
    </row>
    <row r="161" spans="2:9" x14ac:dyDescent="0.25">
      <c r="B161" s="395">
        <v>2050</v>
      </c>
      <c r="C161" s="387">
        <v>23</v>
      </c>
      <c r="D161" s="142">
        <v>30</v>
      </c>
      <c r="E161" s="438">
        <f t="shared" si="18"/>
        <v>1303134.0817548353</v>
      </c>
      <c r="F161" s="437">
        <f t="shared" si="19"/>
        <v>19046668.054695304</v>
      </c>
      <c r="G161" s="437">
        <f t="shared" si="20"/>
        <v>11882785.296321366</v>
      </c>
      <c r="H161" s="498">
        <f t="shared" si="16"/>
        <v>32232587.432771508</v>
      </c>
      <c r="I161" s="499">
        <f t="shared" si="17"/>
        <v>4530703.2357398057</v>
      </c>
    </row>
    <row r="162" spans="2:9" x14ac:dyDescent="0.25">
      <c r="B162" s="393">
        <v>2051</v>
      </c>
      <c r="C162" s="387">
        <v>24</v>
      </c>
      <c r="D162" s="142">
        <v>31</v>
      </c>
      <c r="E162" s="438">
        <f t="shared" si="18"/>
        <v>1309649.7521636093</v>
      </c>
      <c r="F162" s="437">
        <f t="shared" si="19"/>
        <v>19141901.394968774</v>
      </c>
      <c r="G162" s="437">
        <f t="shared" si="20"/>
        <v>11942199.222802969</v>
      </c>
      <c r="H162" s="498">
        <f t="shared" si="16"/>
        <v>32393750.369935349</v>
      </c>
      <c r="I162" s="499">
        <f t="shared" si="17"/>
        <v>4255473.5999238342</v>
      </c>
    </row>
    <row r="163" spans="2:9" x14ac:dyDescent="0.25">
      <c r="B163" s="395">
        <v>2052</v>
      </c>
      <c r="C163" s="387">
        <v>25</v>
      </c>
      <c r="D163" s="142">
        <v>32</v>
      </c>
      <c r="E163" s="438">
        <f t="shared" si="18"/>
        <v>1316198.0009244275</v>
      </c>
      <c r="F163" s="437">
        <f t="shared" si="19"/>
        <v>19237610.90194362</v>
      </c>
      <c r="G163" s="437">
        <f t="shared" si="20"/>
        <v>12001910.218916986</v>
      </c>
      <c r="H163" s="498">
        <f t="shared" si="16"/>
        <v>32555719.121785033</v>
      </c>
      <c r="I163" s="499">
        <f t="shared" si="17"/>
        <v>3996963.5214237883</v>
      </c>
    </row>
    <row r="164" spans="2:9" x14ac:dyDescent="0.25">
      <c r="B164" s="393">
        <v>2053</v>
      </c>
      <c r="C164" s="387">
        <v>26</v>
      </c>
      <c r="D164" s="142">
        <v>33</v>
      </c>
      <c r="E164" s="438">
        <f t="shared" si="18"/>
        <v>1322778.9909290492</v>
      </c>
      <c r="F164" s="437">
        <f t="shared" si="19"/>
        <v>19333798.956453331</v>
      </c>
      <c r="G164" s="437">
        <f t="shared" si="20"/>
        <v>12061919.770011568</v>
      </c>
      <c r="H164" s="498">
        <f t="shared" si="16"/>
        <v>32718497.71739395</v>
      </c>
      <c r="I164" s="499">
        <f t="shared" si="17"/>
        <v>3754157.3261971087</v>
      </c>
    </row>
    <row r="165" spans="2:9" x14ac:dyDescent="0.25">
      <c r="B165" s="395">
        <v>2054</v>
      </c>
      <c r="C165" s="387">
        <v>27</v>
      </c>
      <c r="D165" s="142">
        <v>34</v>
      </c>
      <c r="E165" s="438">
        <f t="shared" si="18"/>
        <v>1329392.8858836943</v>
      </c>
      <c r="F165" s="437">
        <f t="shared" si="19"/>
        <v>19430467.9512356</v>
      </c>
      <c r="G165" s="437">
        <f t="shared" si="20"/>
        <v>12122229.368861623</v>
      </c>
      <c r="H165" s="498">
        <f t="shared" si="16"/>
        <v>32882090.205980916</v>
      </c>
      <c r="I165" s="499">
        <f t="shared" si="17"/>
        <v>3526101.0400262559</v>
      </c>
    </row>
    <row r="166" spans="2:9" x14ac:dyDescent="0.25">
      <c r="B166" s="393">
        <v>2055</v>
      </c>
      <c r="C166" s="387">
        <v>28</v>
      </c>
      <c r="D166" s="142">
        <v>35</v>
      </c>
      <c r="E166" s="438">
        <f t="shared" si="18"/>
        <v>1336039.8503131128</v>
      </c>
      <c r="F166" s="437">
        <f t="shared" si="19"/>
        <v>19527620.290991772</v>
      </c>
      <c r="G166" s="437">
        <f t="shared" si="20"/>
        <v>12182840.51570593</v>
      </c>
      <c r="H166" s="498">
        <f t="shared" si="16"/>
        <v>33046500.657010816</v>
      </c>
      <c r="I166" s="499">
        <f t="shared" si="17"/>
        <v>3311898.6403984926</v>
      </c>
    </row>
    <row r="167" spans="2:9" x14ac:dyDescent="0.25">
      <c r="B167" s="395">
        <v>2056</v>
      </c>
      <c r="C167" s="387">
        <v>29</v>
      </c>
      <c r="D167" s="142">
        <v>36</v>
      </c>
      <c r="E167" s="438">
        <f t="shared" si="18"/>
        <v>1342720.0495646782</v>
      </c>
      <c r="F167" s="437">
        <f t="shared" si="19"/>
        <v>19625258.392446727</v>
      </c>
      <c r="G167" s="437">
        <f t="shared" si="20"/>
        <v>12243754.718284458</v>
      </c>
      <c r="H167" s="498">
        <f t="shared" si="16"/>
        <v>33211733.160295863</v>
      </c>
      <c r="I167" s="499">
        <f t="shared" si="17"/>
        <v>3110708.5360752186</v>
      </c>
    </row>
    <row r="168" spans="2:9" x14ac:dyDescent="0.25">
      <c r="B168" s="393">
        <v>2057</v>
      </c>
      <c r="C168" s="387">
        <v>30</v>
      </c>
      <c r="D168" s="142">
        <v>37</v>
      </c>
      <c r="E168" s="438">
        <f t="shared" si="18"/>
        <v>1349433.6498125016</v>
      </c>
      <c r="F168" s="437">
        <f t="shared" si="19"/>
        <v>19723384.684408959</v>
      </c>
      <c r="G168" s="437">
        <f t="shared" si="20"/>
        <v>12304973.491875876</v>
      </c>
      <c r="H168" s="498">
        <f t="shared" si="16"/>
        <v>33377791.826097336</v>
      </c>
      <c r="I168" s="499">
        <f t="shared" si="17"/>
        <v>2921740.260519247</v>
      </c>
    </row>
    <row r="169" spans="2:9" ht="15.75" thickBot="1" x14ac:dyDescent="0.3">
      <c r="D169" s="1"/>
      <c r="E169" s="58">
        <f>SUM(E135:E168)</f>
        <v>37693762.843641669</v>
      </c>
      <c r="F169" s="58">
        <f>SUM(F135:F168)</f>
        <v>550933782.3844285</v>
      </c>
      <c r="G169" s="58">
        <f>SUM(G135:G168)</f>
        <v>343715122.75873137</v>
      </c>
      <c r="H169" s="59">
        <f>SUM(H135:H168)</f>
        <v>932342667.98680151</v>
      </c>
      <c r="I169" s="50">
        <f>SUM(I135:I168)</f>
        <v>250916796.86300343</v>
      </c>
    </row>
  </sheetData>
  <mergeCells count="26">
    <mergeCell ref="L4:N4"/>
    <mergeCell ref="B46:B47"/>
    <mergeCell ref="C46:C47"/>
    <mergeCell ref="D46:D47"/>
    <mergeCell ref="E46:E47"/>
    <mergeCell ref="F46:H46"/>
    <mergeCell ref="I46:K46"/>
    <mergeCell ref="L46:N46"/>
    <mergeCell ref="B4:B5"/>
    <mergeCell ref="C4:C5"/>
    <mergeCell ref="D4:D5"/>
    <mergeCell ref="E4:E5"/>
    <mergeCell ref="F4:H4"/>
    <mergeCell ref="I4:K4"/>
    <mergeCell ref="L88:N88"/>
    <mergeCell ref="B130:B131"/>
    <mergeCell ref="C130:C131"/>
    <mergeCell ref="D130:D131"/>
    <mergeCell ref="E130:H130"/>
    <mergeCell ref="I130:I131"/>
    <mergeCell ref="B88:B89"/>
    <mergeCell ref="C88:C89"/>
    <mergeCell ref="D88:D89"/>
    <mergeCell ref="E88:E89"/>
    <mergeCell ref="F88:H88"/>
    <mergeCell ref="I88:K88"/>
  </mergeCells>
  <pageMargins left="0.7" right="0.7" top="0.75" bottom="0.75" header="0.3" footer="0.3"/>
  <pageSetup orientation="portrait" r:id="rId1"/>
  <headerFooter>
    <oddHeader>&amp;CI-680 Highway Preservation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ADB2-7318-4EFC-AADA-68DD4CBDB957}">
  <dimension ref="A1:P94"/>
  <sheetViews>
    <sheetView topLeftCell="A7" workbookViewId="0">
      <selection activeCell="B5" sqref="B5:I46"/>
    </sheetView>
  </sheetViews>
  <sheetFormatPr defaultColWidth="8.85546875" defaultRowHeight="15" x14ac:dyDescent="0.25"/>
  <cols>
    <col min="1" max="1" width="25.7109375" style="519" customWidth="1"/>
    <col min="2" max="4" width="20.85546875" style="519" customWidth="1"/>
    <col min="5" max="5" width="13.7109375" style="519" bestFit="1" customWidth="1"/>
    <col min="6" max="6" width="21.28515625" style="519" bestFit="1" customWidth="1"/>
    <col min="7" max="7" width="20.85546875" style="519" bestFit="1" customWidth="1"/>
    <col min="8" max="8" width="18.7109375" style="519" customWidth="1"/>
    <col min="9" max="9" width="17.28515625" style="519" customWidth="1"/>
    <col min="10" max="10" width="12.28515625" style="519" bestFit="1" customWidth="1"/>
    <col min="11" max="11" width="13.7109375" style="519" bestFit="1" customWidth="1"/>
    <col min="12" max="12" width="19.7109375" style="519" bestFit="1" customWidth="1"/>
    <col min="13" max="13" width="13.5703125" style="519" bestFit="1" customWidth="1"/>
    <col min="14" max="14" width="12.28515625" style="519" bestFit="1" customWidth="1"/>
    <col min="15" max="15" width="11.28515625" style="519" bestFit="1" customWidth="1"/>
    <col min="16" max="16" width="16.5703125" style="519" bestFit="1" customWidth="1"/>
    <col min="17" max="16384" width="8.85546875" style="519"/>
  </cols>
  <sheetData>
    <row r="1" spans="1:16" ht="18.75" x14ac:dyDescent="0.3">
      <c r="A1" s="518" t="s">
        <v>121</v>
      </c>
    </row>
    <row r="2" spans="1:16" x14ac:dyDescent="0.25">
      <c r="B2" s="28"/>
      <c r="C2" s="28"/>
      <c r="D2" s="28"/>
      <c r="E2" s="461"/>
      <c r="F2" s="462"/>
      <c r="G2" s="462"/>
      <c r="H2" s="463"/>
    </row>
    <row r="3" spans="1:16" ht="15.75" thickBot="1" x14ac:dyDescent="0.3">
      <c r="A3" s="18" t="s">
        <v>123</v>
      </c>
      <c r="B3" s="28"/>
      <c r="C3" s="28"/>
      <c r="D3" s="28"/>
      <c r="E3" s="461"/>
      <c r="F3" s="462"/>
      <c r="G3" s="462"/>
      <c r="H3" s="463"/>
    </row>
    <row r="4" spans="1:16" ht="30" x14ac:dyDescent="0.25">
      <c r="A4" s="347" t="s">
        <v>15</v>
      </c>
      <c r="B4" s="352" t="s">
        <v>164</v>
      </c>
      <c r="C4" s="352" t="s">
        <v>165</v>
      </c>
      <c r="D4" s="352" t="s">
        <v>16</v>
      </c>
      <c r="E4" s="352" t="s">
        <v>120</v>
      </c>
      <c r="F4" s="352" t="s">
        <v>17</v>
      </c>
      <c r="G4" s="373" t="s">
        <v>166</v>
      </c>
      <c r="H4" s="359" t="s">
        <v>18</v>
      </c>
      <c r="I4" s="363" t="s">
        <v>130</v>
      </c>
      <c r="J4" s="18"/>
      <c r="K4" s="18"/>
      <c r="L4" s="18"/>
      <c r="M4" s="18"/>
    </row>
    <row r="5" spans="1:16" x14ac:dyDescent="0.25">
      <c r="A5" s="348" t="s">
        <v>19</v>
      </c>
      <c r="B5" s="464"/>
      <c r="C5" s="464">
        <v>44197</v>
      </c>
      <c r="D5" s="464">
        <v>44713</v>
      </c>
      <c r="E5" s="464">
        <v>44713</v>
      </c>
      <c r="F5" s="464">
        <v>45170</v>
      </c>
      <c r="G5" s="465"/>
      <c r="H5" s="360">
        <v>44713</v>
      </c>
      <c r="I5" s="466"/>
      <c r="J5" s="467"/>
      <c r="K5" s="467"/>
      <c r="L5" s="467"/>
      <c r="M5" s="468"/>
    </row>
    <row r="6" spans="1:16" x14ac:dyDescent="0.25">
      <c r="A6" s="348" t="s">
        <v>20</v>
      </c>
      <c r="B6" s="464"/>
      <c r="C6" s="464">
        <v>44713</v>
      </c>
      <c r="D6" s="464">
        <v>45078</v>
      </c>
      <c r="E6" s="464">
        <v>45078</v>
      </c>
      <c r="F6" s="464">
        <v>45565</v>
      </c>
      <c r="G6" s="465"/>
      <c r="H6" s="360">
        <v>45565</v>
      </c>
      <c r="I6" s="466"/>
      <c r="J6" s="467"/>
      <c r="K6" s="467"/>
      <c r="L6" s="467"/>
      <c r="M6" s="468"/>
    </row>
    <row r="7" spans="1:16" x14ac:dyDescent="0.25">
      <c r="A7" s="348" t="s">
        <v>163</v>
      </c>
      <c r="B7" s="445"/>
      <c r="C7" s="445">
        <v>167000</v>
      </c>
      <c r="D7" s="445">
        <v>2310000</v>
      </c>
      <c r="E7" s="443">
        <v>83000</v>
      </c>
      <c r="F7" s="443">
        <v>16890000</v>
      </c>
      <c r="G7" s="375"/>
      <c r="H7" s="361">
        <v>19450000</v>
      </c>
      <c r="I7" s="365"/>
      <c r="J7" s="83"/>
      <c r="K7" s="83"/>
      <c r="L7" s="83"/>
      <c r="M7" s="25"/>
    </row>
    <row r="8" spans="1:16" ht="15.75" thickBot="1" x14ac:dyDescent="0.3">
      <c r="A8" s="349" t="s">
        <v>162</v>
      </c>
      <c r="B8" s="444">
        <v>0</v>
      </c>
      <c r="C8" s="444">
        <v>163660</v>
      </c>
      <c r="D8" s="444">
        <v>2263800</v>
      </c>
      <c r="E8" s="444">
        <v>81340</v>
      </c>
      <c r="F8" s="444">
        <v>16552200</v>
      </c>
      <c r="G8" s="444">
        <v>0</v>
      </c>
      <c r="H8" s="362">
        <v>19061000</v>
      </c>
      <c r="I8" s="366"/>
      <c r="J8" s="83"/>
      <c r="K8" s="83"/>
      <c r="L8" s="83"/>
      <c r="M8" s="25"/>
    </row>
    <row r="9" spans="1:16" x14ac:dyDescent="0.25">
      <c r="A9" s="356">
        <v>2021</v>
      </c>
      <c r="B9" s="448">
        <v>0</v>
      </c>
      <c r="C9" s="451">
        <v>105897.64705882354</v>
      </c>
      <c r="D9" s="448">
        <v>0</v>
      </c>
      <c r="E9" s="451">
        <v>0</v>
      </c>
      <c r="F9" s="448">
        <v>0</v>
      </c>
      <c r="G9" s="376">
        <v>0</v>
      </c>
      <c r="H9" s="361">
        <v>105897.64705882354</v>
      </c>
      <c r="I9" s="367">
        <v>105897.64705882354</v>
      </c>
      <c r="J9" s="83"/>
      <c r="K9" s="83"/>
      <c r="L9" s="83"/>
      <c r="M9" s="25"/>
      <c r="P9" s="53"/>
    </row>
    <row r="10" spans="1:16" x14ac:dyDescent="0.25">
      <c r="A10" s="348">
        <v>2022</v>
      </c>
      <c r="B10" s="447">
        <v>0</v>
      </c>
      <c r="C10" s="447">
        <v>57762.352941176476</v>
      </c>
      <c r="D10" s="447">
        <v>1131900</v>
      </c>
      <c r="E10" s="447">
        <v>40670</v>
      </c>
      <c r="F10" s="447">
        <v>0</v>
      </c>
      <c r="G10" s="358">
        <v>0</v>
      </c>
      <c r="H10" s="361">
        <v>1230332.3529411764</v>
      </c>
      <c r="I10" s="368">
        <v>1149843.3205057723</v>
      </c>
      <c r="J10" s="83"/>
      <c r="K10" s="83"/>
      <c r="L10" s="83"/>
      <c r="M10" s="25"/>
      <c r="O10" s="53"/>
      <c r="P10" s="53"/>
    </row>
    <row r="11" spans="1:16" x14ac:dyDescent="0.25">
      <c r="A11" s="348">
        <v>2023</v>
      </c>
      <c r="B11" s="447">
        <v>0</v>
      </c>
      <c r="C11" s="447">
        <v>0</v>
      </c>
      <c r="D11" s="447">
        <v>1131900</v>
      </c>
      <c r="E11" s="447">
        <v>40670</v>
      </c>
      <c r="F11" s="447">
        <v>3829557.8406169666</v>
      </c>
      <c r="G11" s="358">
        <v>0</v>
      </c>
      <c r="H11" s="361">
        <v>5002127.8406169666</v>
      </c>
      <c r="I11" s="368">
        <v>4369052.1797685092</v>
      </c>
      <c r="J11" s="83"/>
      <c r="K11" s="83"/>
      <c r="L11" s="83"/>
      <c r="M11" s="25"/>
      <c r="P11" s="53"/>
    </row>
    <row r="12" spans="1:16" x14ac:dyDescent="0.25">
      <c r="A12" s="348">
        <v>2024</v>
      </c>
      <c r="B12" s="450">
        <v>0</v>
      </c>
      <c r="C12" s="450">
        <v>0</v>
      </c>
      <c r="D12" s="447">
        <v>0</v>
      </c>
      <c r="E12" s="447">
        <v>0</v>
      </c>
      <c r="F12" s="447">
        <v>11488673.521850901</v>
      </c>
      <c r="G12" s="358">
        <v>0</v>
      </c>
      <c r="H12" s="361">
        <v>11488673.521850901</v>
      </c>
      <c r="I12" s="368">
        <v>9378179.804179037</v>
      </c>
      <c r="J12" s="83"/>
      <c r="K12" s="83"/>
      <c r="L12" s="83"/>
      <c r="M12" s="25"/>
      <c r="P12" s="53"/>
    </row>
    <row r="13" spans="1:16" x14ac:dyDescent="0.25">
      <c r="A13" s="348">
        <v>2025</v>
      </c>
      <c r="B13" s="447">
        <v>0</v>
      </c>
      <c r="C13" s="447">
        <v>0</v>
      </c>
      <c r="D13" s="447">
        <v>0</v>
      </c>
      <c r="E13" s="447">
        <v>0</v>
      </c>
      <c r="F13" s="447">
        <v>0</v>
      </c>
      <c r="G13" s="358">
        <v>0</v>
      </c>
      <c r="H13" s="361">
        <v>0</v>
      </c>
      <c r="I13" s="368">
        <v>0</v>
      </c>
      <c r="J13" s="83"/>
      <c r="K13" s="83"/>
      <c r="L13" s="83"/>
      <c r="M13" s="25"/>
      <c r="P13" s="53"/>
    </row>
    <row r="14" spans="1:16" x14ac:dyDescent="0.25">
      <c r="A14" s="348">
        <v>2026</v>
      </c>
      <c r="B14" s="447">
        <v>0</v>
      </c>
      <c r="C14" s="447">
        <v>0</v>
      </c>
      <c r="D14" s="447">
        <v>0</v>
      </c>
      <c r="E14" s="447">
        <v>0</v>
      </c>
      <c r="F14" s="447">
        <v>0</v>
      </c>
      <c r="G14" s="358">
        <v>0</v>
      </c>
      <c r="H14" s="361">
        <v>0</v>
      </c>
      <c r="I14" s="368">
        <v>0</v>
      </c>
      <c r="J14" s="83"/>
      <c r="K14" s="83"/>
      <c r="L14" s="83"/>
      <c r="M14" s="25"/>
      <c r="P14" s="53"/>
    </row>
    <row r="15" spans="1:16" x14ac:dyDescent="0.25">
      <c r="A15" s="348">
        <v>2027</v>
      </c>
      <c r="B15" s="447">
        <v>0</v>
      </c>
      <c r="C15" s="447">
        <v>0</v>
      </c>
      <c r="D15" s="447">
        <v>0</v>
      </c>
      <c r="E15" s="447">
        <v>0</v>
      </c>
      <c r="F15" s="447">
        <v>0</v>
      </c>
      <c r="G15" s="358">
        <v>0</v>
      </c>
      <c r="H15" s="361">
        <v>0</v>
      </c>
      <c r="I15" s="368">
        <v>0</v>
      </c>
      <c r="J15" s="83"/>
      <c r="K15" s="83"/>
      <c r="L15" s="83"/>
      <c r="M15" s="25"/>
      <c r="O15" s="53"/>
    </row>
    <row r="16" spans="1:16" x14ac:dyDescent="0.25">
      <c r="A16" s="348">
        <v>2028</v>
      </c>
      <c r="B16" s="447">
        <v>0</v>
      </c>
      <c r="C16" s="447">
        <v>0</v>
      </c>
      <c r="D16" s="447">
        <v>0</v>
      </c>
      <c r="E16" s="447">
        <v>0</v>
      </c>
      <c r="F16" s="447">
        <v>0</v>
      </c>
      <c r="G16" s="358">
        <v>0</v>
      </c>
      <c r="H16" s="361">
        <v>0</v>
      </c>
      <c r="I16" s="368">
        <v>0</v>
      </c>
      <c r="J16" s="83"/>
      <c r="K16" s="83"/>
      <c r="L16" s="83"/>
      <c r="M16" s="25"/>
    </row>
    <row r="17" spans="1:13" x14ac:dyDescent="0.25">
      <c r="A17" s="348">
        <v>2029</v>
      </c>
      <c r="B17" s="447">
        <v>0</v>
      </c>
      <c r="C17" s="447">
        <v>0</v>
      </c>
      <c r="D17" s="447">
        <v>0</v>
      </c>
      <c r="E17" s="447">
        <v>0</v>
      </c>
      <c r="F17" s="447">
        <v>0</v>
      </c>
      <c r="G17" s="358">
        <v>0</v>
      </c>
      <c r="H17" s="361">
        <v>0</v>
      </c>
      <c r="I17" s="368">
        <v>0</v>
      </c>
      <c r="J17" s="83"/>
      <c r="K17" s="83"/>
      <c r="L17" s="83"/>
      <c r="M17" s="25"/>
    </row>
    <row r="18" spans="1:13" x14ac:dyDescent="0.25">
      <c r="A18" s="348">
        <v>2030</v>
      </c>
      <c r="B18" s="447">
        <v>0</v>
      </c>
      <c r="C18" s="447">
        <v>0</v>
      </c>
      <c r="D18" s="447">
        <v>0</v>
      </c>
      <c r="E18" s="447">
        <v>0</v>
      </c>
      <c r="F18" s="447">
        <v>0</v>
      </c>
      <c r="G18" s="358">
        <v>0</v>
      </c>
      <c r="H18" s="361">
        <v>0</v>
      </c>
      <c r="I18" s="368">
        <v>0</v>
      </c>
      <c r="J18" s="83"/>
      <c r="K18" s="83"/>
      <c r="L18" s="83"/>
      <c r="M18" s="25"/>
    </row>
    <row r="19" spans="1:13" x14ac:dyDescent="0.25">
      <c r="A19" s="348">
        <v>2031</v>
      </c>
      <c r="B19" s="447">
        <v>0</v>
      </c>
      <c r="C19" s="447">
        <v>0</v>
      </c>
      <c r="D19" s="447">
        <v>0</v>
      </c>
      <c r="E19" s="447">
        <v>0</v>
      </c>
      <c r="F19" s="447">
        <v>0</v>
      </c>
      <c r="G19" s="358">
        <v>0</v>
      </c>
      <c r="H19" s="361">
        <v>0</v>
      </c>
      <c r="I19" s="368">
        <v>0</v>
      </c>
      <c r="J19" s="83"/>
      <c r="K19" s="83"/>
      <c r="L19" s="83"/>
      <c r="M19" s="25"/>
    </row>
    <row r="20" spans="1:13" x14ac:dyDescent="0.25">
      <c r="A20" s="348">
        <v>2032</v>
      </c>
      <c r="B20" s="447">
        <v>0</v>
      </c>
      <c r="C20" s="447">
        <v>0</v>
      </c>
      <c r="D20" s="447">
        <v>0</v>
      </c>
      <c r="E20" s="447">
        <v>0</v>
      </c>
      <c r="F20" s="447">
        <v>0</v>
      </c>
      <c r="G20" s="358">
        <v>0</v>
      </c>
      <c r="H20" s="361">
        <v>0</v>
      </c>
      <c r="I20" s="368">
        <v>0</v>
      </c>
      <c r="J20" s="83"/>
      <c r="K20" s="83"/>
      <c r="L20" s="83"/>
      <c r="M20" s="25"/>
    </row>
    <row r="21" spans="1:13" x14ac:dyDescent="0.25">
      <c r="A21" s="348">
        <v>2033</v>
      </c>
      <c r="B21" s="447">
        <v>0</v>
      </c>
      <c r="C21" s="447">
        <v>0</v>
      </c>
      <c r="D21" s="447">
        <v>0</v>
      </c>
      <c r="E21" s="447">
        <v>0</v>
      </c>
      <c r="F21" s="447">
        <v>0</v>
      </c>
      <c r="G21" s="358">
        <v>0</v>
      </c>
      <c r="H21" s="361">
        <v>0</v>
      </c>
      <c r="I21" s="368">
        <v>0</v>
      </c>
      <c r="J21" s="83"/>
      <c r="K21" s="83"/>
      <c r="L21" s="83"/>
      <c r="M21" s="25"/>
    </row>
    <row r="22" spans="1:13" x14ac:dyDescent="0.25">
      <c r="A22" s="348">
        <v>2034</v>
      </c>
      <c r="B22" s="447">
        <v>0</v>
      </c>
      <c r="C22" s="447">
        <v>0</v>
      </c>
      <c r="D22" s="447">
        <v>0</v>
      </c>
      <c r="E22" s="447">
        <v>0</v>
      </c>
      <c r="F22" s="447">
        <v>0</v>
      </c>
      <c r="G22" s="358">
        <v>0</v>
      </c>
      <c r="H22" s="361">
        <v>0</v>
      </c>
      <c r="I22" s="368">
        <v>0</v>
      </c>
      <c r="J22" s="83"/>
      <c r="K22" s="83"/>
      <c r="L22" s="83"/>
      <c r="M22" s="25"/>
    </row>
    <row r="23" spans="1:13" x14ac:dyDescent="0.25">
      <c r="A23" s="348">
        <v>2035</v>
      </c>
      <c r="B23" s="447">
        <v>0</v>
      </c>
      <c r="C23" s="447">
        <v>0</v>
      </c>
      <c r="D23" s="447">
        <v>0</v>
      </c>
      <c r="E23" s="447">
        <v>0</v>
      </c>
      <c r="F23" s="447">
        <v>0</v>
      </c>
      <c r="G23" s="358">
        <v>0</v>
      </c>
      <c r="H23" s="361">
        <v>0</v>
      </c>
      <c r="I23" s="368">
        <v>0</v>
      </c>
      <c r="J23" s="83"/>
      <c r="K23" s="83"/>
      <c r="L23" s="83"/>
      <c r="M23" s="25"/>
    </row>
    <row r="24" spans="1:13" x14ac:dyDescent="0.25">
      <c r="A24" s="348">
        <v>2036</v>
      </c>
      <c r="B24" s="447">
        <v>0</v>
      </c>
      <c r="C24" s="447">
        <v>0</v>
      </c>
      <c r="D24" s="447">
        <v>0</v>
      </c>
      <c r="E24" s="447">
        <v>0</v>
      </c>
      <c r="F24" s="447">
        <v>0</v>
      </c>
      <c r="G24" s="358">
        <v>0</v>
      </c>
      <c r="H24" s="361">
        <v>0</v>
      </c>
      <c r="I24" s="368">
        <v>0</v>
      </c>
      <c r="J24" s="83"/>
      <c r="K24" s="83"/>
      <c r="L24" s="83"/>
      <c r="M24" s="25"/>
    </row>
    <row r="25" spans="1:13" x14ac:dyDescent="0.25">
      <c r="A25" s="348">
        <v>2037</v>
      </c>
      <c r="B25" s="447">
        <v>0</v>
      </c>
      <c r="C25" s="447">
        <v>0</v>
      </c>
      <c r="D25" s="447">
        <v>0</v>
      </c>
      <c r="E25" s="447">
        <v>0</v>
      </c>
      <c r="F25" s="447">
        <v>0</v>
      </c>
      <c r="G25" s="358">
        <v>0</v>
      </c>
      <c r="H25" s="361">
        <v>0</v>
      </c>
      <c r="I25" s="368">
        <v>0</v>
      </c>
      <c r="J25" s="83"/>
      <c r="K25" s="83"/>
      <c r="L25" s="83"/>
      <c r="M25" s="25"/>
    </row>
    <row r="26" spans="1:13" x14ac:dyDescent="0.25">
      <c r="A26" s="348">
        <v>2038</v>
      </c>
      <c r="B26" s="447">
        <v>0</v>
      </c>
      <c r="C26" s="447">
        <v>0</v>
      </c>
      <c r="D26" s="447">
        <v>0</v>
      </c>
      <c r="E26" s="447">
        <v>0</v>
      </c>
      <c r="F26" s="447">
        <v>0</v>
      </c>
      <c r="G26" s="358">
        <v>0</v>
      </c>
      <c r="H26" s="361">
        <v>0</v>
      </c>
      <c r="I26" s="368">
        <v>0</v>
      </c>
      <c r="J26" s="83"/>
      <c r="K26" s="83"/>
      <c r="L26" s="83"/>
      <c r="M26" s="25"/>
    </row>
    <row r="27" spans="1:13" x14ac:dyDescent="0.25">
      <c r="A27" s="348">
        <v>2039</v>
      </c>
      <c r="B27" s="447">
        <v>0</v>
      </c>
      <c r="C27" s="447">
        <v>0</v>
      </c>
      <c r="D27" s="447">
        <v>0</v>
      </c>
      <c r="E27" s="447">
        <v>0</v>
      </c>
      <c r="F27" s="447">
        <v>0</v>
      </c>
      <c r="G27" s="358">
        <v>0</v>
      </c>
      <c r="H27" s="361">
        <v>0</v>
      </c>
      <c r="I27" s="368">
        <v>0</v>
      </c>
      <c r="J27" s="83"/>
      <c r="K27" s="83"/>
      <c r="L27" s="83"/>
      <c r="M27" s="25"/>
    </row>
    <row r="28" spans="1:13" x14ac:dyDescent="0.25">
      <c r="A28" s="348">
        <v>2040</v>
      </c>
      <c r="B28" s="447">
        <v>0</v>
      </c>
      <c r="C28" s="447">
        <v>0</v>
      </c>
      <c r="D28" s="447">
        <v>0</v>
      </c>
      <c r="E28" s="447">
        <v>0</v>
      </c>
      <c r="F28" s="447">
        <v>0</v>
      </c>
      <c r="G28" s="358">
        <v>0</v>
      </c>
      <c r="H28" s="361">
        <v>0</v>
      </c>
      <c r="I28" s="368">
        <v>0</v>
      </c>
      <c r="J28" s="83"/>
      <c r="K28" s="83"/>
      <c r="L28" s="83"/>
      <c r="M28" s="25"/>
    </row>
    <row r="29" spans="1:13" x14ac:dyDescent="0.25">
      <c r="A29" s="348">
        <v>2041</v>
      </c>
      <c r="B29" s="447">
        <v>0</v>
      </c>
      <c r="C29" s="447">
        <v>105897.64705882354</v>
      </c>
      <c r="D29" s="447">
        <v>0</v>
      </c>
      <c r="E29" s="447">
        <v>0</v>
      </c>
      <c r="F29" s="447">
        <v>0</v>
      </c>
      <c r="G29" s="358">
        <v>0</v>
      </c>
      <c r="H29" s="361">
        <v>105897.64705882354</v>
      </c>
      <c r="I29" s="368">
        <v>27365.964353276195</v>
      </c>
      <c r="J29" s="83"/>
      <c r="K29" s="83"/>
      <c r="L29" s="83"/>
      <c r="M29" s="25"/>
    </row>
    <row r="30" spans="1:13" x14ac:dyDescent="0.25">
      <c r="A30" s="348">
        <v>2042</v>
      </c>
      <c r="B30" s="447">
        <v>0</v>
      </c>
      <c r="C30" s="447">
        <v>57762.352941176476</v>
      </c>
      <c r="D30" s="447">
        <v>1131900</v>
      </c>
      <c r="E30" s="447">
        <v>40670</v>
      </c>
      <c r="F30" s="447">
        <v>0</v>
      </c>
      <c r="G30" s="358">
        <v>0</v>
      </c>
      <c r="H30" s="361">
        <v>1230332.3529411764</v>
      </c>
      <c r="I30" s="368">
        <v>297141.36427728931</v>
      </c>
      <c r="J30" s="83"/>
      <c r="K30" s="83"/>
      <c r="L30" s="83"/>
      <c r="M30" s="25"/>
    </row>
    <row r="31" spans="1:13" x14ac:dyDescent="0.25">
      <c r="A31" s="348">
        <v>2043</v>
      </c>
      <c r="B31" s="447">
        <v>0</v>
      </c>
      <c r="C31" s="447">
        <v>0</v>
      </c>
      <c r="D31" s="447">
        <v>1131900</v>
      </c>
      <c r="E31" s="447">
        <v>40670</v>
      </c>
      <c r="F31" s="447">
        <v>3829557.8406169666</v>
      </c>
      <c r="G31" s="358">
        <v>0</v>
      </c>
      <c r="H31" s="361">
        <v>5002127.8406169666</v>
      </c>
      <c r="I31" s="368">
        <v>1129046.1075375376</v>
      </c>
      <c r="J31" s="83"/>
      <c r="K31" s="83"/>
      <c r="L31" s="83"/>
      <c r="M31" s="25"/>
    </row>
    <row r="32" spans="1:13" x14ac:dyDescent="0.25">
      <c r="A32" s="348">
        <v>2044</v>
      </c>
      <c r="B32" s="447">
        <v>0</v>
      </c>
      <c r="C32" s="447">
        <v>0</v>
      </c>
      <c r="D32" s="447">
        <v>0</v>
      </c>
      <c r="E32" s="447">
        <v>0</v>
      </c>
      <c r="F32" s="447">
        <v>11488673.521850901</v>
      </c>
      <c r="G32" s="358">
        <v>0</v>
      </c>
      <c r="H32" s="361">
        <v>11488673.521850901</v>
      </c>
      <c r="I32" s="368">
        <v>2423499.873205109</v>
      </c>
      <c r="J32" s="83"/>
      <c r="K32" s="83"/>
      <c r="L32" s="83"/>
      <c r="M32" s="25"/>
    </row>
    <row r="33" spans="1:13" x14ac:dyDescent="0.25">
      <c r="A33" s="348">
        <v>2045</v>
      </c>
      <c r="B33" s="447">
        <v>0</v>
      </c>
      <c r="C33" s="447">
        <v>0</v>
      </c>
      <c r="D33" s="447">
        <v>0</v>
      </c>
      <c r="E33" s="447">
        <v>0</v>
      </c>
      <c r="F33" s="447">
        <v>0</v>
      </c>
      <c r="G33" s="358">
        <v>0</v>
      </c>
      <c r="H33" s="361">
        <v>0</v>
      </c>
      <c r="I33" s="368">
        <v>0</v>
      </c>
      <c r="J33" s="83"/>
      <c r="K33" s="83"/>
      <c r="L33" s="83"/>
      <c r="M33" s="25"/>
    </row>
    <row r="34" spans="1:13" x14ac:dyDescent="0.25">
      <c r="A34" s="348">
        <v>2046</v>
      </c>
      <c r="B34" s="447">
        <v>0</v>
      </c>
      <c r="C34" s="447">
        <v>0</v>
      </c>
      <c r="D34" s="447">
        <v>0</v>
      </c>
      <c r="E34" s="447">
        <v>0</v>
      </c>
      <c r="F34" s="447">
        <v>0</v>
      </c>
      <c r="G34" s="358">
        <v>0</v>
      </c>
      <c r="H34" s="361">
        <v>0</v>
      </c>
      <c r="I34" s="368">
        <v>0</v>
      </c>
      <c r="J34" s="83"/>
      <c r="K34" s="83"/>
      <c r="L34" s="83"/>
      <c r="M34" s="25"/>
    </row>
    <row r="35" spans="1:13" x14ac:dyDescent="0.25">
      <c r="A35" s="348">
        <v>2047</v>
      </c>
      <c r="B35" s="447">
        <v>0</v>
      </c>
      <c r="C35" s="447">
        <v>0</v>
      </c>
      <c r="D35" s="447">
        <v>0</v>
      </c>
      <c r="E35" s="447">
        <v>0</v>
      </c>
      <c r="F35" s="447">
        <v>0</v>
      </c>
      <c r="G35" s="358">
        <v>0</v>
      </c>
      <c r="H35" s="361">
        <v>0</v>
      </c>
      <c r="I35" s="368">
        <v>0</v>
      </c>
      <c r="J35" s="83"/>
      <c r="K35" s="83"/>
      <c r="L35" s="83"/>
      <c r="M35" s="25"/>
    </row>
    <row r="36" spans="1:13" x14ac:dyDescent="0.25">
      <c r="A36" s="348">
        <v>2048</v>
      </c>
      <c r="B36" s="447">
        <v>0</v>
      </c>
      <c r="C36" s="447">
        <v>0</v>
      </c>
      <c r="D36" s="447">
        <v>0</v>
      </c>
      <c r="E36" s="447">
        <v>0</v>
      </c>
      <c r="F36" s="447">
        <v>0</v>
      </c>
      <c r="G36" s="358">
        <v>0</v>
      </c>
      <c r="H36" s="361">
        <v>0</v>
      </c>
      <c r="I36" s="368">
        <v>0</v>
      </c>
      <c r="J36" s="83"/>
      <c r="K36" s="83"/>
      <c r="L36" s="83"/>
      <c r="M36" s="25"/>
    </row>
    <row r="37" spans="1:13" x14ac:dyDescent="0.25">
      <c r="A37" s="348">
        <v>2049</v>
      </c>
      <c r="B37" s="447">
        <v>0</v>
      </c>
      <c r="C37" s="447">
        <v>0</v>
      </c>
      <c r="D37" s="447">
        <v>0</v>
      </c>
      <c r="E37" s="447">
        <v>0</v>
      </c>
      <c r="F37" s="447">
        <v>0</v>
      </c>
      <c r="G37" s="358">
        <v>0</v>
      </c>
      <c r="H37" s="361">
        <v>0</v>
      </c>
      <c r="I37" s="368">
        <v>0</v>
      </c>
      <c r="J37" s="83"/>
      <c r="K37" s="83"/>
      <c r="L37" s="83"/>
      <c r="M37" s="25"/>
    </row>
    <row r="38" spans="1:13" x14ac:dyDescent="0.25">
      <c r="A38" s="348">
        <v>2050</v>
      </c>
      <c r="B38" s="447">
        <v>0</v>
      </c>
      <c r="C38" s="447">
        <v>0</v>
      </c>
      <c r="D38" s="447">
        <v>0</v>
      </c>
      <c r="E38" s="447">
        <v>0</v>
      </c>
      <c r="F38" s="447">
        <v>0</v>
      </c>
      <c r="G38" s="358">
        <v>0</v>
      </c>
      <c r="H38" s="361">
        <v>0</v>
      </c>
      <c r="I38" s="368">
        <v>0</v>
      </c>
      <c r="J38" s="83"/>
      <c r="K38" s="83"/>
      <c r="L38" s="83"/>
      <c r="M38" s="25"/>
    </row>
    <row r="39" spans="1:13" x14ac:dyDescent="0.25">
      <c r="A39" s="348">
        <v>2051</v>
      </c>
      <c r="B39" s="447">
        <v>0</v>
      </c>
      <c r="C39" s="447">
        <v>0</v>
      </c>
      <c r="D39" s="447">
        <v>0</v>
      </c>
      <c r="E39" s="447">
        <v>0</v>
      </c>
      <c r="F39" s="447">
        <v>0</v>
      </c>
      <c r="G39" s="358">
        <v>0</v>
      </c>
      <c r="H39" s="361">
        <v>0</v>
      </c>
      <c r="I39" s="368">
        <v>0</v>
      </c>
      <c r="J39" s="83"/>
      <c r="K39" s="83"/>
      <c r="L39" s="83"/>
      <c r="M39" s="25"/>
    </row>
    <row r="40" spans="1:13" x14ac:dyDescent="0.25">
      <c r="A40" s="348">
        <v>2052</v>
      </c>
      <c r="B40" s="447">
        <v>0</v>
      </c>
      <c r="C40" s="447">
        <v>0</v>
      </c>
      <c r="D40" s="447">
        <v>0</v>
      </c>
      <c r="E40" s="447">
        <v>0</v>
      </c>
      <c r="F40" s="447">
        <v>0</v>
      </c>
      <c r="G40" s="358">
        <v>0</v>
      </c>
      <c r="H40" s="361">
        <v>0</v>
      </c>
      <c r="I40" s="368">
        <v>0</v>
      </c>
      <c r="J40" s="83"/>
      <c r="K40" s="83"/>
      <c r="L40" s="83"/>
      <c r="M40" s="25"/>
    </row>
    <row r="41" spans="1:13" x14ac:dyDescent="0.25">
      <c r="A41" s="348">
        <v>2053</v>
      </c>
      <c r="B41" s="447">
        <v>0</v>
      </c>
      <c r="C41" s="447">
        <v>0</v>
      </c>
      <c r="D41" s="447">
        <v>0</v>
      </c>
      <c r="E41" s="447">
        <v>0</v>
      </c>
      <c r="F41" s="447">
        <v>0</v>
      </c>
      <c r="G41" s="358">
        <v>0</v>
      </c>
      <c r="H41" s="361">
        <v>0</v>
      </c>
      <c r="I41" s="368">
        <v>0</v>
      </c>
      <c r="J41" s="83"/>
      <c r="K41" s="83"/>
      <c r="L41" s="83"/>
      <c r="M41" s="25"/>
    </row>
    <row r="42" spans="1:13" x14ac:dyDescent="0.25">
      <c r="A42" s="348">
        <v>2054</v>
      </c>
      <c r="B42" s="447">
        <v>0</v>
      </c>
      <c r="C42" s="447">
        <v>0</v>
      </c>
      <c r="D42" s="447">
        <v>0</v>
      </c>
      <c r="E42" s="447">
        <v>0</v>
      </c>
      <c r="F42" s="447">
        <v>0</v>
      </c>
      <c r="G42" s="358">
        <v>0</v>
      </c>
      <c r="H42" s="361">
        <v>0</v>
      </c>
      <c r="I42" s="368">
        <v>0</v>
      </c>
      <c r="J42" s="83"/>
      <c r="K42" s="83"/>
      <c r="L42" s="83"/>
      <c r="M42" s="25"/>
    </row>
    <row r="43" spans="1:13" x14ac:dyDescent="0.25">
      <c r="A43" s="348">
        <v>2055</v>
      </c>
      <c r="B43" s="447">
        <v>0</v>
      </c>
      <c r="C43" s="447">
        <v>0</v>
      </c>
      <c r="D43" s="447">
        <v>0</v>
      </c>
      <c r="E43" s="447">
        <v>0</v>
      </c>
      <c r="F43" s="447">
        <v>0</v>
      </c>
      <c r="G43" s="358">
        <v>0</v>
      </c>
      <c r="H43" s="361">
        <v>0</v>
      </c>
      <c r="I43" s="368">
        <v>0</v>
      </c>
      <c r="J43" s="83"/>
      <c r="K43" s="83"/>
      <c r="L43" s="83"/>
      <c r="M43" s="25"/>
    </row>
    <row r="44" spans="1:13" x14ac:dyDescent="0.25">
      <c r="A44" s="348">
        <v>2056</v>
      </c>
      <c r="B44" s="447">
        <v>0</v>
      </c>
      <c r="C44" s="447">
        <v>0</v>
      </c>
      <c r="D44" s="447">
        <v>0</v>
      </c>
      <c r="E44" s="447">
        <v>0</v>
      </c>
      <c r="F44" s="447">
        <v>0</v>
      </c>
      <c r="G44" s="358">
        <v>0</v>
      </c>
      <c r="H44" s="361">
        <v>0</v>
      </c>
      <c r="I44" s="368">
        <v>0</v>
      </c>
      <c r="J44" s="83"/>
      <c r="K44" s="83"/>
      <c r="L44" s="83"/>
      <c r="M44" s="25"/>
    </row>
    <row r="45" spans="1:13" x14ac:dyDescent="0.25">
      <c r="A45" s="455">
        <v>2057</v>
      </c>
      <c r="B45" s="456">
        <v>0</v>
      </c>
      <c r="C45" s="456">
        <v>0</v>
      </c>
      <c r="D45" s="456">
        <v>0</v>
      </c>
      <c r="E45" s="456">
        <v>0</v>
      </c>
      <c r="F45" s="456">
        <v>0</v>
      </c>
      <c r="G45" s="457">
        <v>0</v>
      </c>
      <c r="H45" s="458">
        <v>0</v>
      </c>
      <c r="I45" s="459">
        <v>0</v>
      </c>
      <c r="J45" s="83"/>
      <c r="K45" s="83"/>
      <c r="L45" s="83"/>
      <c r="M45" s="25"/>
    </row>
    <row r="46" spans="1:13" ht="15.75" thickBot="1" x14ac:dyDescent="0.3">
      <c r="A46" s="349" t="s">
        <v>18</v>
      </c>
      <c r="B46" s="355">
        <v>0</v>
      </c>
      <c r="C46" s="355">
        <v>327320</v>
      </c>
      <c r="D46" s="355">
        <v>4527600</v>
      </c>
      <c r="E46" s="355">
        <v>162680</v>
      </c>
      <c r="F46" s="355">
        <v>30636462.724935733</v>
      </c>
      <c r="G46" s="355">
        <v>0</v>
      </c>
      <c r="H46" s="362">
        <v>35654062.724935733</v>
      </c>
      <c r="I46" s="369">
        <v>18880026.260885358</v>
      </c>
      <c r="J46" s="83"/>
      <c r="K46" s="83"/>
      <c r="L46" s="83"/>
      <c r="M46" s="25"/>
    </row>
    <row r="47" spans="1:13" x14ac:dyDescent="0.25">
      <c r="A47" s="90" t="s">
        <v>21</v>
      </c>
      <c r="B47" s="28"/>
      <c r="C47" s="28"/>
      <c r="D47" s="28"/>
      <c r="E47" s="461"/>
      <c r="F47" s="28"/>
      <c r="G47" s="28"/>
      <c r="H47" s="28"/>
    </row>
    <row r="48" spans="1:13" x14ac:dyDescent="0.25">
      <c r="A48" s="80"/>
      <c r="E48" s="470"/>
      <c r="F48" s="463"/>
      <c r="G48" s="463"/>
      <c r="H48" s="463"/>
    </row>
    <row r="49" spans="1:8" x14ac:dyDescent="0.25">
      <c r="B49" s="28"/>
      <c r="C49" s="28"/>
      <c r="D49" s="28"/>
      <c r="E49" s="461"/>
      <c r="F49" s="28"/>
      <c r="G49" s="28"/>
      <c r="H49" s="28"/>
    </row>
    <row r="50" spans="1:8" ht="15.75" thickBot="1" x14ac:dyDescent="0.3">
      <c r="A50" s="18" t="s">
        <v>7</v>
      </c>
    </row>
    <row r="51" spans="1:8" x14ac:dyDescent="0.25">
      <c r="A51" s="471" t="s">
        <v>13</v>
      </c>
      <c r="B51" s="84"/>
      <c r="C51" s="84"/>
      <c r="D51" s="84">
        <v>20</v>
      </c>
    </row>
    <row r="52" spans="1:8" x14ac:dyDescent="0.25">
      <c r="A52" s="472" t="s">
        <v>14</v>
      </c>
      <c r="B52" s="85"/>
      <c r="C52" s="85"/>
      <c r="D52" s="85">
        <v>13</v>
      </c>
      <c r="E52" s="519" t="s">
        <v>204</v>
      </c>
    </row>
    <row r="53" spans="1:8" x14ac:dyDescent="0.25">
      <c r="A53" s="472" t="s">
        <v>167</v>
      </c>
      <c r="B53" s="473"/>
      <c r="C53" s="473"/>
      <c r="D53" s="473">
        <f>SUM(H29:H32)</f>
        <v>17827031.362467866</v>
      </c>
      <c r="E53" s="519" t="s">
        <v>202</v>
      </c>
    </row>
    <row r="54" spans="1:8" x14ac:dyDescent="0.25">
      <c r="A54" s="472" t="s">
        <v>191</v>
      </c>
      <c r="B54" s="87"/>
      <c r="C54" s="87"/>
      <c r="D54" s="87">
        <f>D53*((D51-D52)/D51)</f>
        <v>6239460.9768637531</v>
      </c>
    </row>
    <row r="55" spans="1:8" ht="30.75" thickBot="1" x14ac:dyDescent="0.3">
      <c r="A55" s="75" t="s">
        <v>168</v>
      </c>
      <c r="B55" s="89"/>
      <c r="C55" s="89"/>
      <c r="D55" s="89">
        <f>D54*(1.07)^-D52</f>
        <v>2589154.4793863427</v>
      </c>
    </row>
    <row r="56" spans="1:8" x14ac:dyDescent="0.25">
      <c r="B56" s="28"/>
      <c r="C56" s="28"/>
      <c r="D56" s="28"/>
      <c r="E56" s="461"/>
      <c r="F56" s="28"/>
      <c r="G56" s="28"/>
      <c r="H56" s="28"/>
    </row>
    <row r="57" spans="1:8" x14ac:dyDescent="0.25">
      <c r="A57" s="16"/>
      <c r="B57" s="28"/>
      <c r="C57" s="28"/>
      <c r="D57" s="28"/>
      <c r="E57" s="461"/>
      <c r="F57" s="462"/>
      <c r="G57" s="462"/>
      <c r="H57" s="28"/>
    </row>
    <row r="58" spans="1:8" x14ac:dyDescent="0.25">
      <c r="B58" s="28"/>
      <c r="C58" s="28"/>
      <c r="D58" s="28"/>
      <c r="E58" s="461"/>
    </row>
    <row r="59" spans="1:8" x14ac:dyDescent="0.25">
      <c r="B59" s="28"/>
      <c r="C59" s="28"/>
      <c r="D59" s="28"/>
      <c r="E59" s="461"/>
    </row>
    <row r="60" spans="1:8" x14ac:dyDescent="0.25">
      <c r="A60" s="1"/>
      <c r="B60" s="29"/>
      <c r="C60" s="29"/>
      <c r="D60" s="29"/>
    </row>
    <row r="61" spans="1:8" x14ac:dyDescent="0.25">
      <c r="B61" s="28"/>
      <c r="C61" s="28"/>
      <c r="D61" s="28"/>
      <c r="E61" s="461"/>
    </row>
    <row r="62" spans="1:8" x14ac:dyDescent="0.25">
      <c r="B62" s="30"/>
      <c r="C62" s="30"/>
      <c r="D62" s="30"/>
      <c r="F62" s="31"/>
      <c r="G62" s="31"/>
    </row>
    <row r="63" spans="1:8" x14ac:dyDescent="0.25">
      <c r="B63" s="30"/>
      <c r="C63" s="30"/>
      <c r="D63" s="30"/>
      <c r="F63" s="32"/>
      <c r="G63" s="32"/>
      <c r="H63" s="520"/>
    </row>
    <row r="64" spans="1:8" x14ac:dyDescent="0.25">
      <c r="B64" s="30"/>
      <c r="C64" s="30"/>
      <c r="D64" s="30"/>
      <c r="F64" s="31"/>
      <c r="G64" s="31"/>
    </row>
    <row r="65" spans="1:8" x14ac:dyDescent="0.25">
      <c r="B65" s="30"/>
      <c r="C65" s="30"/>
      <c r="D65" s="30"/>
      <c r="F65" s="31"/>
      <c r="G65" s="31"/>
    </row>
    <row r="66" spans="1:8" x14ac:dyDescent="0.25">
      <c r="B66" s="30"/>
      <c r="C66" s="30"/>
      <c r="D66" s="30"/>
      <c r="F66" s="28"/>
      <c r="G66" s="28"/>
    </row>
    <row r="67" spans="1:8" x14ac:dyDescent="0.25">
      <c r="B67" s="30"/>
      <c r="C67" s="30"/>
      <c r="D67" s="30"/>
      <c r="F67" s="28"/>
      <c r="G67" s="28"/>
    </row>
    <row r="68" spans="1:8" x14ac:dyDescent="0.25">
      <c r="B68" s="30"/>
      <c r="C68" s="30"/>
      <c r="D68" s="30"/>
      <c r="F68" s="28"/>
      <c r="G68" s="28"/>
    </row>
    <row r="69" spans="1:8" x14ac:dyDescent="0.25">
      <c r="B69" s="30"/>
      <c r="C69" s="30"/>
      <c r="D69" s="30"/>
      <c r="F69" s="33"/>
      <c r="G69" s="33"/>
    </row>
    <row r="70" spans="1:8" x14ac:dyDescent="0.25">
      <c r="B70" s="30"/>
      <c r="C70" s="30"/>
      <c r="D70" s="30"/>
      <c r="F70" s="33"/>
      <c r="G70" s="33"/>
    </row>
    <row r="71" spans="1:8" x14ac:dyDescent="0.25">
      <c r="E71" s="520"/>
    </row>
    <row r="72" spans="1:8" x14ac:dyDescent="0.25">
      <c r="A72" s="30"/>
      <c r="B72" s="34"/>
      <c r="C72" s="34"/>
      <c r="D72" s="34"/>
      <c r="E72" s="35"/>
      <c r="F72" s="34"/>
      <c r="G72" s="34"/>
    </row>
    <row r="73" spans="1:8" x14ac:dyDescent="0.25">
      <c r="A73" s="30"/>
      <c r="B73" s="34"/>
      <c r="C73" s="34"/>
      <c r="D73" s="34"/>
      <c r="E73" s="35"/>
      <c r="F73" s="34"/>
      <c r="G73" s="34"/>
    </row>
    <row r="74" spans="1:8" x14ac:dyDescent="0.25">
      <c r="A74" s="30"/>
      <c r="B74" s="34"/>
      <c r="C74" s="34"/>
      <c r="D74" s="34"/>
      <c r="E74" s="35"/>
      <c r="F74" s="34"/>
      <c r="G74" s="34"/>
    </row>
    <row r="75" spans="1:8" x14ac:dyDescent="0.25">
      <c r="A75" s="30"/>
      <c r="B75" s="34"/>
      <c r="C75" s="34"/>
      <c r="D75" s="34"/>
      <c r="E75" s="35"/>
      <c r="F75" s="34"/>
      <c r="G75" s="34"/>
    </row>
    <row r="76" spans="1:8" x14ac:dyDescent="0.25">
      <c r="A76" s="30"/>
      <c r="E76" s="520"/>
      <c r="F76" s="34"/>
      <c r="G76" s="34"/>
    </row>
    <row r="77" spans="1:8" x14ac:dyDescent="0.25">
      <c r="A77" s="30"/>
      <c r="B77" s="28"/>
      <c r="C77" s="28"/>
      <c r="D77" s="28"/>
    </row>
    <row r="78" spans="1:8" x14ac:dyDescent="0.25">
      <c r="A78" s="36"/>
    </row>
    <row r="79" spans="1:8" x14ac:dyDescent="0.25">
      <c r="A79" s="36"/>
    </row>
    <row r="80" spans="1:8" x14ac:dyDescent="0.25">
      <c r="A80" s="30"/>
      <c r="B80" s="38"/>
      <c r="C80" s="38"/>
      <c r="D80" s="38"/>
      <c r="E80" s="38"/>
      <c r="F80" s="38"/>
      <c r="G80" s="38"/>
      <c r="H80" s="38"/>
    </row>
    <row r="81" spans="1:8" x14ac:dyDescent="0.25">
      <c r="A81" s="30"/>
      <c r="B81" s="38"/>
      <c r="C81" s="38"/>
      <c r="D81" s="38"/>
      <c r="E81" s="38"/>
      <c r="F81" s="38"/>
      <c r="G81" s="38"/>
      <c r="H81" s="38"/>
    </row>
    <row r="82" spans="1:8" x14ac:dyDescent="0.25">
      <c r="A82" s="30"/>
      <c r="B82" s="37"/>
      <c r="C82" s="37"/>
      <c r="D82" s="37"/>
      <c r="E82" s="37"/>
      <c r="F82" s="37"/>
      <c r="G82" s="37"/>
      <c r="H82" s="37"/>
    </row>
    <row r="83" spans="1:8" x14ac:dyDescent="0.25">
      <c r="A83" s="30"/>
      <c r="B83" s="37"/>
      <c r="C83" s="37"/>
      <c r="D83" s="37"/>
      <c r="E83" s="37"/>
      <c r="F83" s="37"/>
      <c r="G83" s="37"/>
      <c r="H83" s="37"/>
    </row>
    <row r="84" spans="1:8" x14ac:dyDescent="0.25">
      <c r="A84" s="30"/>
      <c r="B84" s="37"/>
      <c r="C84" s="37"/>
      <c r="D84" s="37"/>
      <c r="E84" s="37"/>
      <c r="F84" s="37"/>
      <c r="G84" s="37"/>
      <c r="H84" s="37"/>
    </row>
    <row r="85" spans="1:8" x14ac:dyDescent="0.25">
      <c r="A85" s="30"/>
      <c r="B85" s="37"/>
      <c r="C85" s="37"/>
      <c r="D85" s="37"/>
      <c r="E85" s="37"/>
      <c r="F85" s="37"/>
      <c r="G85" s="37"/>
      <c r="H85" s="37"/>
    </row>
    <row r="86" spans="1:8" x14ac:dyDescent="0.25">
      <c r="A86" s="30"/>
      <c r="B86" s="37"/>
      <c r="C86" s="37"/>
      <c r="D86" s="37"/>
      <c r="E86" s="37"/>
      <c r="F86" s="37"/>
      <c r="G86" s="37"/>
      <c r="H86" s="37"/>
    </row>
    <row r="87" spans="1:8" x14ac:dyDescent="0.25">
      <c r="A87" s="30"/>
      <c r="B87" s="37"/>
      <c r="C87" s="37"/>
      <c r="D87" s="37"/>
      <c r="E87" s="37"/>
      <c r="F87" s="37"/>
      <c r="G87" s="37"/>
      <c r="H87" s="37"/>
    </row>
    <row r="88" spans="1:8" x14ac:dyDescent="0.25">
      <c r="A88" s="30"/>
      <c r="B88" s="37"/>
      <c r="C88" s="37"/>
      <c r="D88" s="37"/>
      <c r="E88" s="37"/>
      <c r="F88" s="37"/>
      <c r="G88" s="37"/>
      <c r="H88" s="37"/>
    </row>
    <row r="89" spans="1:8" x14ac:dyDescent="0.25">
      <c r="A89" s="30"/>
      <c r="B89" s="37"/>
      <c r="C89" s="37"/>
      <c r="D89" s="37"/>
      <c r="E89" s="37"/>
      <c r="F89" s="37"/>
      <c r="G89" s="37"/>
      <c r="H89" s="37"/>
    </row>
    <row r="90" spans="1:8" x14ac:dyDescent="0.25">
      <c r="A90" s="30"/>
      <c r="B90" s="37"/>
      <c r="C90" s="37"/>
      <c r="D90" s="37"/>
      <c r="E90" s="37"/>
      <c r="F90" s="37"/>
      <c r="G90" s="37"/>
      <c r="H90" s="37"/>
    </row>
    <row r="91" spans="1:8" x14ac:dyDescent="0.25">
      <c r="A91" s="30"/>
      <c r="B91" s="37"/>
      <c r="C91" s="37"/>
      <c r="D91" s="37"/>
      <c r="E91" s="37"/>
      <c r="F91" s="37"/>
      <c r="G91" s="37"/>
      <c r="H91" s="37"/>
    </row>
    <row r="92" spans="1:8" x14ac:dyDescent="0.25">
      <c r="A92" s="30"/>
      <c r="B92" s="37"/>
      <c r="C92" s="37"/>
      <c r="D92" s="37"/>
      <c r="E92" s="37"/>
      <c r="F92" s="37"/>
      <c r="G92" s="37"/>
      <c r="H92" s="37"/>
    </row>
    <row r="93" spans="1:8" x14ac:dyDescent="0.25">
      <c r="A93" s="30"/>
      <c r="B93" s="37"/>
      <c r="C93" s="37"/>
      <c r="D93" s="37"/>
      <c r="E93" s="37"/>
      <c r="F93" s="37"/>
      <c r="G93" s="37"/>
      <c r="H93" s="37"/>
    </row>
    <row r="94" spans="1:8" x14ac:dyDescent="0.25">
      <c r="A94" s="30"/>
      <c r="B94" s="37"/>
      <c r="C94" s="37"/>
      <c r="D94" s="37"/>
      <c r="E94" s="37"/>
      <c r="F94" s="37"/>
      <c r="G94" s="37"/>
      <c r="H94" s="37"/>
    </row>
  </sheetData>
  <pageMargins left="0.7" right="0.7" top="0.75" bottom="0.75" header="0.3" footer="0.3"/>
  <pageSetup orientation="portrait" r:id="rId1"/>
  <headerFooter>
    <oddHeader>&amp;CI-680 Highway Preservation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83DE-100B-4EFB-87C6-D94A762E03CF}">
  <dimension ref="B1:P169"/>
  <sheetViews>
    <sheetView topLeftCell="A40" workbookViewId="0">
      <selection activeCell="E6" sqref="E6:N44"/>
    </sheetView>
  </sheetViews>
  <sheetFormatPr defaultColWidth="8.85546875" defaultRowHeight="15" x14ac:dyDescent="0.25"/>
  <cols>
    <col min="1" max="1" width="5.140625" style="519" customWidth="1"/>
    <col min="2" max="2" width="42.7109375" style="519" bestFit="1" customWidth="1"/>
    <col min="3" max="4" width="12.140625" style="519" customWidth="1"/>
    <col min="5" max="5" width="15.5703125" style="519" customWidth="1"/>
    <col min="6" max="6" width="17.140625" style="519" customWidth="1"/>
    <col min="7" max="7" width="16.42578125" style="519" customWidth="1"/>
    <col min="8" max="8" width="18.28515625" style="519" bestFit="1" customWidth="1"/>
    <col min="9" max="9" width="20.28515625" style="519" customWidth="1"/>
    <col min="10" max="10" width="15" style="519" customWidth="1"/>
    <col min="11" max="11" width="13.5703125" style="519" customWidth="1"/>
    <col min="12" max="12" width="17.28515625" style="519" bestFit="1" customWidth="1"/>
    <col min="13" max="13" width="20.140625" style="519" bestFit="1" customWidth="1"/>
    <col min="14" max="14" width="24.85546875" style="519" customWidth="1"/>
    <col min="15" max="15" width="19.7109375" style="519" customWidth="1"/>
    <col min="16" max="16" width="11.7109375" style="519" bestFit="1" customWidth="1"/>
    <col min="17" max="17" width="8.28515625" style="519" bestFit="1" customWidth="1"/>
    <col min="18" max="18" width="9.85546875" style="519" bestFit="1" customWidth="1"/>
    <col min="19" max="19" width="8.42578125" style="519" bestFit="1" customWidth="1"/>
    <col min="20" max="21" width="9.5703125" style="519" bestFit="1" customWidth="1"/>
    <col min="22" max="22" width="11" style="519" bestFit="1" customWidth="1"/>
    <col min="23" max="23" width="6" style="519" bestFit="1" customWidth="1"/>
    <col min="24" max="24" width="5.28515625" style="519" bestFit="1" customWidth="1"/>
    <col min="25" max="16384" width="8.85546875" style="519"/>
  </cols>
  <sheetData>
    <row r="1" spans="2:16" ht="18.75" x14ac:dyDescent="0.3">
      <c r="B1" s="518" t="s">
        <v>126</v>
      </c>
    </row>
    <row r="3" spans="2:16" ht="15.75" thickBot="1" x14ac:dyDescent="0.3">
      <c r="B3" s="18" t="s">
        <v>138</v>
      </c>
    </row>
    <row r="4" spans="2:16" x14ac:dyDescent="0.25">
      <c r="B4" s="574" t="s">
        <v>1</v>
      </c>
      <c r="C4" s="576" t="s">
        <v>2</v>
      </c>
      <c r="D4" s="584" t="s">
        <v>22</v>
      </c>
      <c r="E4" s="586" t="s">
        <v>47</v>
      </c>
      <c r="F4" s="580" t="s">
        <v>48</v>
      </c>
      <c r="G4" s="573"/>
      <c r="H4" s="567"/>
      <c r="I4" s="580" t="s">
        <v>49</v>
      </c>
      <c r="J4" s="573"/>
      <c r="K4" s="567"/>
      <c r="L4" s="566" t="s">
        <v>192</v>
      </c>
      <c r="M4" s="573"/>
      <c r="N4" s="567"/>
      <c r="O4" s="18"/>
    </row>
    <row r="5" spans="2:16" ht="15.75" thickBot="1" x14ac:dyDescent="0.3">
      <c r="B5" s="575"/>
      <c r="C5" s="577"/>
      <c r="D5" s="585"/>
      <c r="E5" s="587"/>
      <c r="F5" s="380" t="s">
        <v>35</v>
      </c>
      <c r="G5" s="381" t="s">
        <v>36</v>
      </c>
      <c r="H5" s="382" t="s">
        <v>37</v>
      </c>
      <c r="I5" s="380" t="s">
        <v>35</v>
      </c>
      <c r="J5" s="381" t="s">
        <v>36</v>
      </c>
      <c r="K5" s="382" t="s">
        <v>37</v>
      </c>
      <c r="L5" s="405" t="s">
        <v>35</v>
      </c>
      <c r="M5" s="381" t="s">
        <v>36</v>
      </c>
      <c r="N5" s="382" t="s">
        <v>37</v>
      </c>
      <c r="O5" s="474"/>
      <c r="P5" s="474"/>
    </row>
    <row r="6" spans="2:16" x14ac:dyDescent="0.25">
      <c r="B6" s="389">
        <f t="shared" ref="B6:B7" si="0">B7-1</f>
        <v>2021</v>
      </c>
      <c r="C6" s="384">
        <v>0</v>
      </c>
      <c r="D6" s="390">
        <v>1</v>
      </c>
      <c r="E6" s="421">
        <v>195033.84047560033</v>
      </c>
      <c r="F6" s="410">
        <v>22.738028501596425</v>
      </c>
      <c r="G6" s="406">
        <v>6.3373085888320357</v>
      </c>
      <c r="H6" s="411">
        <v>1.8483816717426773</v>
      </c>
      <c r="I6" s="431">
        <v>0</v>
      </c>
      <c r="J6" s="415">
        <v>0</v>
      </c>
      <c r="K6" s="414">
        <v>0</v>
      </c>
      <c r="L6" s="400">
        <v>0</v>
      </c>
      <c r="M6" s="388">
        <v>0</v>
      </c>
      <c r="N6" s="401">
        <v>0</v>
      </c>
      <c r="O6" s="379"/>
      <c r="P6" s="379"/>
    </row>
    <row r="7" spans="2:16" x14ac:dyDescent="0.25">
      <c r="B7" s="389">
        <f t="shared" si="0"/>
        <v>2022</v>
      </c>
      <c r="C7" s="384">
        <v>0</v>
      </c>
      <c r="D7" s="390">
        <f t="shared" ref="D7:D41" si="1">D6+1</f>
        <v>2</v>
      </c>
      <c r="E7" s="421">
        <v>196009.00967797832</v>
      </c>
      <c r="F7" s="410">
        <v>22.851718644104405</v>
      </c>
      <c r="G7" s="406">
        <v>6.3689951317761953</v>
      </c>
      <c r="H7" s="411">
        <v>1.8576235801013901</v>
      </c>
      <c r="I7" s="431">
        <v>0</v>
      </c>
      <c r="J7" s="415">
        <v>0</v>
      </c>
      <c r="K7" s="414">
        <v>0</v>
      </c>
      <c r="L7" s="400">
        <v>0</v>
      </c>
      <c r="M7" s="388">
        <v>0</v>
      </c>
      <c r="N7" s="401">
        <v>0</v>
      </c>
      <c r="O7" s="379"/>
      <c r="P7" s="379"/>
    </row>
    <row r="8" spans="2:16" x14ac:dyDescent="0.25">
      <c r="B8" s="389">
        <f>B9-1</f>
        <v>2023</v>
      </c>
      <c r="C8" s="384">
        <v>0</v>
      </c>
      <c r="D8" s="390">
        <f t="shared" si="1"/>
        <v>3</v>
      </c>
      <c r="E8" s="421">
        <v>196989.05472636819</v>
      </c>
      <c r="F8" s="410">
        <v>22.965977237324928</v>
      </c>
      <c r="G8" s="406">
        <v>6.4008401074350756</v>
      </c>
      <c r="H8" s="411">
        <v>1.8669116980018969</v>
      </c>
      <c r="I8" s="431">
        <v>0</v>
      </c>
      <c r="J8" s="415">
        <v>0</v>
      </c>
      <c r="K8" s="414">
        <v>0</v>
      </c>
      <c r="L8" s="400">
        <v>0</v>
      </c>
      <c r="M8" s="388">
        <v>0</v>
      </c>
      <c r="N8" s="401">
        <v>0</v>
      </c>
      <c r="O8" s="379"/>
      <c r="P8" s="379"/>
    </row>
    <row r="9" spans="2:16" x14ac:dyDescent="0.25">
      <c r="B9" s="391">
        <v>2024</v>
      </c>
      <c r="C9" s="385">
        <v>1</v>
      </c>
      <c r="D9" s="392">
        <f t="shared" si="1"/>
        <v>4</v>
      </c>
      <c r="E9" s="422">
        <v>197974</v>
      </c>
      <c r="F9" s="425">
        <v>23.080807123511548</v>
      </c>
      <c r="G9" s="416">
        <v>6.4328443079722497</v>
      </c>
      <c r="H9" s="426">
        <v>1.8762462564919065</v>
      </c>
      <c r="I9" s="425">
        <v>6.6818936622565914</v>
      </c>
      <c r="J9" s="416">
        <v>1.8623084271579664</v>
      </c>
      <c r="K9" s="432">
        <v>0.54317329125440694</v>
      </c>
      <c r="L9" s="412">
        <v>67620.763862036707</v>
      </c>
      <c r="M9" s="407">
        <v>776425.35252435633</v>
      </c>
      <c r="N9" s="408">
        <v>9607151.8703835122</v>
      </c>
      <c r="O9" s="379"/>
      <c r="P9" s="379"/>
    </row>
    <row r="10" spans="2:16" x14ac:dyDescent="0.25">
      <c r="B10" s="393">
        <f>B9+1</f>
        <v>2025</v>
      </c>
      <c r="C10" s="386">
        <f>C9+1</f>
        <v>2</v>
      </c>
      <c r="D10" s="394">
        <f t="shared" si="1"/>
        <v>5</v>
      </c>
      <c r="E10" s="475">
        <v>198963.86999999997</v>
      </c>
      <c r="F10" s="427">
        <v>23.196211159129103</v>
      </c>
      <c r="G10" s="417">
        <v>6.4650085295121098</v>
      </c>
      <c r="H10" s="428">
        <v>1.8856274877743655</v>
      </c>
      <c r="I10" s="427">
        <v>6.7153031305678752</v>
      </c>
      <c r="J10" s="417">
        <v>1.8716199692937554</v>
      </c>
      <c r="K10" s="476">
        <v>0.54588915771067881</v>
      </c>
      <c r="L10" s="404">
        <v>67958.867681346906</v>
      </c>
      <c r="M10" s="383">
        <v>780307.4792869779</v>
      </c>
      <c r="N10" s="402">
        <v>9655187.629735427</v>
      </c>
      <c r="O10" s="379"/>
      <c r="P10" s="379"/>
    </row>
    <row r="11" spans="2:16" x14ac:dyDescent="0.25">
      <c r="B11" s="395">
        <f t="shared" ref="B11:C26" si="2">B10+1</f>
        <v>2026</v>
      </c>
      <c r="C11" s="387">
        <f t="shared" si="2"/>
        <v>3</v>
      </c>
      <c r="D11" s="396">
        <f t="shared" si="1"/>
        <v>6</v>
      </c>
      <c r="E11" s="475">
        <v>199958.68934999994</v>
      </c>
      <c r="F11" s="427">
        <v>23.312192214924742</v>
      </c>
      <c r="G11" s="417">
        <v>6.497333572159671</v>
      </c>
      <c r="H11" s="428">
        <v>1.8950556252132371</v>
      </c>
      <c r="I11" s="427">
        <v>6.7488796462207112</v>
      </c>
      <c r="J11" s="417">
        <v>1.8809780691402249</v>
      </c>
      <c r="K11" s="476">
        <v>0.54861860349923219</v>
      </c>
      <c r="L11" s="404">
        <v>68298.66201975361</v>
      </c>
      <c r="M11" s="383">
        <v>784209.01668341307</v>
      </c>
      <c r="N11" s="402">
        <v>9703463.5678841043</v>
      </c>
      <c r="O11" s="379"/>
      <c r="P11" s="379"/>
    </row>
    <row r="12" spans="2:16" x14ac:dyDescent="0.25">
      <c r="B12" s="393">
        <f t="shared" si="2"/>
        <v>2027</v>
      </c>
      <c r="C12" s="387">
        <f t="shared" si="2"/>
        <v>4</v>
      </c>
      <c r="D12" s="396">
        <f t="shared" si="1"/>
        <v>7</v>
      </c>
      <c r="E12" s="475">
        <v>200958.48279674991</v>
      </c>
      <c r="F12" s="427">
        <v>23.428753175999365</v>
      </c>
      <c r="G12" s="417">
        <v>6.5298202400204675</v>
      </c>
      <c r="H12" s="428">
        <v>1.904530903339303</v>
      </c>
      <c r="I12" s="427">
        <v>6.7826240444518149</v>
      </c>
      <c r="J12" s="417">
        <v>1.8903829594859252</v>
      </c>
      <c r="K12" s="476">
        <v>0.55136169651672806</v>
      </c>
      <c r="L12" s="404">
        <v>68640.155329852365</v>
      </c>
      <c r="M12" s="383">
        <v>788130.06176682969</v>
      </c>
      <c r="N12" s="402">
        <v>9751980.8857235182</v>
      </c>
      <c r="O12" s="379"/>
      <c r="P12" s="379"/>
    </row>
    <row r="13" spans="2:16" x14ac:dyDescent="0.25">
      <c r="B13" s="395">
        <f t="shared" si="2"/>
        <v>2028</v>
      </c>
      <c r="C13" s="387">
        <f t="shared" si="2"/>
        <v>5</v>
      </c>
      <c r="D13" s="396">
        <f t="shared" si="1"/>
        <v>8</v>
      </c>
      <c r="E13" s="475">
        <v>201963.27521073361</v>
      </c>
      <c r="F13" s="427">
        <v>23.545896941879356</v>
      </c>
      <c r="G13" s="417">
        <v>6.5624693412205684</v>
      </c>
      <c r="H13" s="428">
        <v>1.9140535578559987</v>
      </c>
      <c r="I13" s="427">
        <v>6.8165371646740738</v>
      </c>
      <c r="J13" s="417">
        <v>1.8998348742833544</v>
      </c>
      <c r="K13" s="476">
        <v>0.55411850499931159</v>
      </c>
      <c r="L13" s="404">
        <v>68983.356106501626</v>
      </c>
      <c r="M13" s="383">
        <v>792070.71207566373</v>
      </c>
      <c r="N13" s="402">
        <v>9800740.7901521362</v>
      </c>
      <c r="O13" s="379"/>
      <c r="P13" s="379"/>
    </row>
    <row r="14" spans="2:16" x14ac:dyDescent="0.25">
      <c r="B14" s="393">
        <f t="shared" si="2"/>
        <v>2029</v>
      </c>
      <c r="C14" s="387">
        <f t="shared" si="2"/>
        <v>6</v>
      </c>
      <c r="D14" s="396">
        <f t="shared" si="1"/>
        <v>9</v>
      </c>
      <c r="E14" s="475">
        <v>202973.09158678725</v>
      </c>
      <c r="F14" s="427">
        <v>23.663626426588749</v>
      </c>
      <c r="G14" s="417">
        <v>6.5952816879266702</v>
      </c>
      <c r="H14" s="428">
        <v>1.9236238256452787</v>
      </c>
      <c r="I14" s="427">
        <v>6.8506198504974414</v>
      </c>
      <c r="J14" s="417">
        <v>1.9093340486547712</v>
      </c>
      <c r="K14" s="476">
        <v>0.55688909752430815</v>
      </c>
      <c r="L14" s="404">
        <v>69328.272887034109</v>
      </c>
      <c r="M14" s="383">
        <v>796031.06563604204</v>
      </c>
      <c r="N14" s="402">
        <v>9849744.4941028971</v>
      </c>
      <c r="O14" s="379"/>
      <c r="P14" s="379"/>
    </row>
    <row r="15" spans="2:16" x14ac:dyDescent="0.25">
      <c r="B15" s="395">
        <f t="shared" si="2"/>
        <v>2030</v>
      </c>
      <c r="C15" s="387">
        <f t="shared" si="2"/>
        <v>7</v>
      </c>
      <c r="D15" s="396">
        <f t="shared" si="1"/>
        <v>10</v>
      </c>
      <c r="E15" s="475">
        <v>203987.95704472114</v>
      </c>
      <c r="F15" s="427">
        <v>23.781944558721683</v>
      </c>
      <c r="G15" s="417">
        <v>6.6282580963663023</v>
      </c>
      <c r="H15" s="428">
        <v>1.9332419447735045</v>
      </c>
      <c r="I15" s="427">
        <v>6.8848729497499264</v>
      </c>
      <c r="J15" s="417">
        <v>1.9188807188980448</v>
      </c>
      <c r="K15" s="476">
        <v>0.55967354301192951</v>
      </c>
      <c r="L15" s="404">
        <v>69674.914251469265</v>
      </c>
      <c r="M15" s="383">
        <v>800011.22096422222</v>
      </c>
      <c r="N15" s="402">
        <v>9898993.2165734079</v>
      </c>
      <c r="O15" s="379"/>
      <c r="P15" s="379"/>
    </row>
    <row r="16" spans="2:16" x14ac:dyDescent="0.25">
      <c r="B16" s="393">
        <f t="shared" si="2"/>
        <v>2031</v>
      </c>
      <c r="C16" s="387">
        <f t="shared" si="2"/>
        <v>8</v>
      </c>
      <c r="D16" s="396">
        <f t="shared" si="1"/>
        <v>11</v>
      </c>
      <c r="E16" s="475">
        <v>205007.89682994474</v>
      </c>
      <c r="F16" s="427">
        <v>23.900854281515297</v>
      </c>
      <c r="G16" s="417">
        <v>6.6613993868481343</v>
      </c>
      <c r="H16" s="428">
        <v>1.9429081544973725</v>
      </c>
      <c r="I16" s="427">
        <v>6.919297314498678</v>
      </c>
      <c r="J16" s="417">
        <v>1.9284751224925349</v>
      </c>
      <c r="K16" s="476">
        <v>0.56247191072698932</v>
      </c>
      <c r="L16" s="404">
        <v>70023.288822726623</v>
      </c>
      <c r="M16" s="383">
        <v>804011.27706904325</v>
      </c>
      <c r="N16" s="402">
        <v>9948488.182656277</v>
      </c>
      <c r="O16" s="379"/>
      <c r="P16" s="379"/>
    </row>
    <row r="17" spans="2:16" x14ac:dyDescent="0.25">
      <c r="B17" s="395">
        <f t="shared" si="2"/>
        <v>2032</v>
      </c>
      <c r="C17" s="387">
        <f t="shared" si="2"/>
        <v>9</v>
      </c>
      <c r="D17" s="396">
        <f t="shared" si="1"/>
        <v>12</v>
      </c>
      <c r="E17" s="475">
        <v>206032.93631409443</v>
      </c>
      <c r="F17" s="427">
        <v>24.020358552922868</v>
      </c>
      <c r="G17" s="417">
        <v>6.694706383782373</v>
      </c>
      <c r="H17" s="428">
        <v>1.9526226952698589</v>
      </c>
      <c r="I17" s="427">
        <v>6.9538938010711711</v>
      </c>
      <c r="J17" s="417">
        <v>1.9381174981049965</v>
      </c>
      <c r="K17" s="476">
        <v>0.565284270280624</v>
      </c>
      <c r="L17" s="404">
        <v>70373.405266840258</v>
      </c>
      <c r="M17" s="383">
        <v>808031.33345438796</v>
      </c>
      <c r="N17" s="402">
        <v>9998230.6235695537</v>
      </c>
      <c r="O17" s="379"/>
      <c r="P17" s="379"/>
    </row>
    <row r="18" spans="2:16" x14ac:dyDescent="0.25">
      <c r="B18" s="393">
        <f t="shared" si="2"/>
        <v>2033</v>
      </c>
      <c r="C18" s="387">
        <f t="shared" si="2"/>
        <v>10</v>
      </c>
      <c r="D18" s="396">
        <f t="shared" si="1"/>
        <v>13</v>
      </c>
      <c r="E18" s="475">
        <v>207063.10099566489</v>
      </c>
      <c r="F18" s="427">
        <v>24.14046034568748</v>
      </c>
      <c r="G18" s="417">
        <v>6.7281799157012845</v>
      </c>
      <c r="H18" s="428">
        <v>1.962385808746208</v>
      </c>
      <c r="I18" s="427">
        <v>6.9886632700765254</v>
      </c>
      <c r="J18" s="417">
        <v>1.947808085595522</v>
      </c>
      <c r="K18" s="476">
        <v>0.5681106916320271</v>
      </c>
      <c r="L18" s="404">
        <v>70725.272293174436</v>
      </c>
      <c r="M18" s="383">
        <v>812071.49012166006</v>
      </c>
      <c r="N18" s="402">
        <v>10048221.7766874</v>
      </c>
      <c r="O18" s="379"/>
      <c r="P18" s="379"/>
    </row>
    <row r="19" spans="2:16" x14ac:dyDescent="0.25">
      <c r="B19" s="395">
        <f t="shared" si="2"/>
        <v>2034</v>
      </c>
      <c r="C19" s="387">
        <f t="shared" si="2"/>
        <v>11</v>
      </c>
      <c r="D19" s="396">
        <f t="shared" si="1"/>
        <v>14</v>
      </c>
      <c r="E19" s="475">
        <v>208098.41650064319</v>
      </c>
      <c r="F19" s="427">
        <v>24.261162647415919</v>
      </c>
      <c r="G19" s="417">
        <v>6.7618208152797896</v>
      </c>
      <c r="H19" s="428">
        <v>1.9721977377899387</v>
      </c>
      <c r="I19" s="427">
        <v>7.0236065864269079</v>
      </c>
      <c r="J19" s="417">
        <v>1.9575471260234991</v>
      </c>
      <c r="K19" s="476">
        <v>0.57095124509018724</v>
      </c>
      <c r="L19" s="404">
        <v>71078.898654640318</v>
      </c>
      <c r="M19" s="383">
        <v>816131.84757226822</v>
      </c>
      <c r="N19" s="402">
        <v>10098462.885570837</v>
      </c>
      <c r="O19" s="379"/>
      <c r="P19" s="379"/>
    </row>
    <row r="20" spans="2:16" x14ac:dyDescent="0.25">
      <c r="B20" s="393">
        <f t="shared" si="2"/>
        <v>2035</v>
      </c>
      <c r="C20" s="387">
        <f t="shared" si="2"/>
        <v>12</v>
      </c>
      <c r="D20" s="396">
        <f t="shared" si="1"/>
        <v>15</v>
      </c>
      <c r="E20" s="475">
        <v>209138.9085831464</v>
      </c>
      <c r="F20" s="427">
        <v>24.382468460652994</v>
      </c>
      <c r="G20" s="417">
        <v>6.7956299193561893</v>
      </c>
      <c r="H20" s="428">
        <v>1.9820587264788883</v>
      </c>
      <c r="I20" s="427">
        <v>7.0587246193590403</v>
      </c>
      <c r="J20" s="417">
        <v>1.967334861653617</v>
      </c>
      <c r="K20" s="476">
        <v>0.57380600131563808</v>
      </c>
      <c r="L20" s="404">
        <v>71434.293147913486</v>
      </c>
      <c r="M20" s="383">
        <v>820212.50681012974</v>
      </c>
      <c r="N20" s="402">
        <v>10148955.199998692</v>
      </c>
      <c r="O20" s="379"/>
      <c r="P20" s="379"/>
    </row>
    <row r="21" spans="2:16" x14ac:dyDescent="0.25">
      <c r="B21" s="395">
        <f t="shared" si="2"/>
        <v>2036</v>
      </c>
      <c r="C21" s="387">
        <f t="shared" si="2"/>
        <v>13</v>
      </c>
      <c r="D21" s="396">
        <f t="shared" si="1"/>
        <v>16</v>
      </c>
      <c r="E21" s="475">
        <v>210184.60312606205</v>
      </c>
      <c r="F21" s="427">
        <v>24.504380802956248</v>
      </c>
      <c r="G21" s="417">
        <v>6.8296080689529672</v>
      </c>
      <c r="H21" s="428">
        <v>1.9919690201112819</v>
      </c>
      <c r="I21" s="427">
        <v>7.0940182424558351</v>
      </c>
      <c r="J21" s="417">
        <v>1.977171535961884</v>
      </c>
      <c r="K21" s="476">
        <v>0.57667503132221598</v>
      </c>
      <c r="L21" s="404">
        <v>71791.46461365305</v>
      </c>
      <c r="M21" s="383">
        <v>824313.56934417994</v>
      </c>
      <c r="N21" s="402">
        <v>10199699.975998679</v>
      </c>
      <c r="O21" s="379"/>
      <c r="P21" s="379"/>
    </row>
    <row r="22" spans="2:16" x14ac:dyDescent="0.25">
      <c r="B22" s="393">
        <f t="shared" si="2"/>
        <v>2037</v>
      </c>
      <c r="C22" s="387">
        <f t="shared" si="2"/>
        <v>14</v>
      </c>
      <c r="D22" s="396">
        <f t="shared" si="1"/>
        <v>17</v>
      </c>
      <c r="E22" s="475">
        <v>211235.52614169233</v>
      </c>
      <c r="F22" s="427">
        <v>24.626902706971027</v>
      </c>
      <c r="G22" s="417">
        <v>6.8637561092977313</v>
      </c>
      <c r="H22" s="428">
        <v>2.0019288652118381</v>
      </c>
      <c r="I22" s="427">
        <v>7.1294883336681103</v>
      </c>
      <c r="J22" s="417">
        <v>1.9870573936416926</v>
      </c>
      <c r="K22" s="476">
        <v>0.57955840647882706</v>
      </c>
      <c r="L22" s="404">
        <v>72150.421936721279</v>
      </c>
      <c r="M22" s="383">
        <v>828435.13719090063</v>
      </c>
      <c r="N22" s="402">
        <v>10250698.475878673</v>
      </c>
      <c r="O22" s="379"/>
      <c r="P22" s="379"/>
    </row>
    <row r="23" spans="2:16" x14ac:dyDescent="0.25">
      <c r="B23" s="395">
        <f t="shared" si="2"/>
        <v>2038</v>
      </c>
      <c r="C23" s="387">
        <f t="shared" si="2"/>
        <v>15</v>
      </c>
      <c r="D23" s="396">
        <f t="shared" si="1"/>
        <v>18</v>
      </c>
      <c r="E23" s="475">
        <v>212291.70377240077</v>
      </c>
      <c r="F23" s="427">
        <v>24.750037220505881</v>
      </c>
      <c r="G23" s="417">
        <v>6.898074889844219</v>
      </c>
      <c r="H23" s="428">
        <v>2.0119385095378974</v>
      </c>
      <c r="I23" s="427">
        <v>7.1651357753364522</v>
      </c>
      <c r="J23" s="417">
        <v>1.9969926806099014</v>
      </c>
      <c r="K23" s="476">
        <v>0.58245619851122132</v>
      </c>
      <c r="L23" s="404">
        <v>72511.174046404907</v>
      </c>
      <c r="M23" s="383">
        <v>832577.31287685526</v>
      </c>
      <c r="N23" s="402">
        <v>10301951.968258068</v>
      </c>
      <c r="O23" s="379"/>
      <c r="P23" s="379"/>
    </row>
    <row r="24" spans="2:16" x14ac:dyDescent="0.25">
      <c r="B24" s="393">
        <f t="shared" si="2"/>
        <v>2039</v>
      </c>
      <c r="C24" s="387">
        <f t="shared" si="2"/>
        <v>16</v>
      </c>
      <c r="D24" s="396">
        <f t="shared" si="1"/>
        <v>19</v>
      </c>
      <c r="E24" s="475">
        <v>213353.16229126274</v>
      </c>
      <c r="F24" s="427">
        <v>24.873787406608407</v>
      </c>
      <c r="G24" s="417">
        <v>6.932565264293439</v>
      </c>
      <c r="H24" s="428">
        <v>2.0219982020855864</v>
      </c>
      <c r="I24" s="427">
        <v>7.2009614542131324</v>
      </c>
      <c r="J24" s="417">
        <v>2.0069776440129505</v>
      </c>
      <c r="K24" s="476">
        <v>0.58536847950377724</v>
      </c>
      <c r="L24" s="404">
        <v>72873.729916636905</v>
      </c>
      <c r="M24" s="383">
        <v>836740.19944123924</v>
      </c>
      <c r="N24" s="402">
        <v>10353461.728099355</v>
      </c>
      <c r="O24" s="379"/>
      <c r="P24" s="379"/>
    </row>
    <row r="25" spans="2:16" x14ac:dyDescent="0.25">
      <c r="B25" s="395">
        <f t="shared" si="2"/>
        <v>2040</v>
      </c>
      <c r="C25" s="387">
        <f t="shared" si="2"/>
        <v>17</v>
      </c>
      <c r="D25" s="396">
        <f t="shared" si="1"/>
        <v>20</v>
      </c>
      <c r="E25" s="475">
        <v>214419.92810271902</v>
      </c>
      <c r="F25" s="427">
        <v>24.99815634364144</v>
      </c>
      <c r="G25" s="417">
        <v>6.9672280906149044</v>
      </c>
      <c r="H25" s="428">
        <v>2.0321081930960139</v>
      </c>
      <c r="I25" s="427">
        <v>7.236966261484195</v>
      </c>
      <c r="J25" s="417">
        <v>2.0170125322330144</v>
      </c>
      <c r="K25" s="476">
        <v>0.58829532190129608</v>
      </c>
      <c r="L25" s="404">
        <v>73238.098566220055</v>
      </c>
      <c r="M25" s="383">
        <v>840923.90043844515</v>
      </c>
      <c r="N25" s="402">
        <v>10405229.03673985</v>
      </c>
      <c r="O25" s="379"/>
      <c r="P25" s="379"/>
    </row>
    <row r="26" spans="2:16" x14ac:dyDescent="0.25">
      <c r="B26" s="393">
        <f t="shared" si="2"/>
        <v>2041</v>
      </c>
      <c r="C26" s="387">
        <f t="shared" si="2"/>
        <v>18</v>
      </c>
      <c r="D26" s="396">
        <f t="shared" si="1"/>
        <v>21</v>
      </c>
      <c r="E26" s="475">
        <v>215492.02774323261</v>
      </c>
      <c r="F26" s="427">
        <v>25.123147125359647</v>
      </c>
      <c r="G26" s="417">
        <v>7.0020642310679788</v>
      </c>
      <c r="H26" s="428">
        <v>2.0422687340614942</v>
      </c>
      <c r="I26" s="427">
        <v>7.2731510927916183</v>
      </c>
      <c r="J26" s="417">
        <v>2.0270975948941796</v>
      </c>
      <c r="K26" s="476">
        <v>0.59123679851080246</v>
      </c>
      <c r="L26" s="404">
        <v>73604.289059051196</v>
      </c>
      <c r="M26" s="383">
        <v>845128.5199406374</v>
      </c>
      <c r="N26" s="402">
        <v>10457255.181923548</v>
      </c>
      <c r="O26" s="379"/>
      <c r="P26" s="379"/>
    </row>
    <row r="27" spans="2:16" x14ac:dyDescent="0.25">
      <c r="B27" s="395">
        <f t="shared" ref="B27:C41" si="3">B26+1</f>
        <v>2042</v>
      </c>
      <c r="C27" s="387">
        <f t="shared" si="3"/>
        <v>19</v>
      </c>
      <c r="D27" s="396">
        <f t="shared" si="1"/>
        <v>22</v>
      </c>
      <c r="E27" s="475">
        <v>216569.48788194871</v>
      </c>
      <c r="F27" s="427">
        <v>25.248762860986442</v>
      </c>
      <c r="G27" s="417">
        <v>7.0370745522233165</v>
      </c>
      <c r="H27" s="428">
        <v>2.0524800777318006</v>
      </c>
      <c r="I27" s="427">
        <v>7.3095168482555728</v>
      </c>
      <c r="J27" s="417">
        <v>2.0372330828686502</v>
      </c>
      <c r="K27" s="476">
        <v>0.59419298250335628</v>
      </c>
      <c r="L27" s="404">
        <v>73972.310504346402</v>
      </c>
      <c r="M27" s="383">
        <v>849354.16254034045</v>
      </c>
      <c r="N27" s="402">
        <v>10509541.457833163</v>
      </c>
      <c r="O27" s="379"/>
      <c r="P27" s="379"/>
    </row>
    <row r="28" spans="2:16" x14ac:dyDescent="0.25">
      <c r="B28" s="393">
        <f t="shared" si="3"/>
        <v>2043</v>
      </c>
      <c r="C28" s="387">
        <f t="shared" si="3"/>
        <v>20</v>
      </c>
      <c r="D28" s="396">
        <f t="shared" si="1"/>
        <v>23</v>
      </c>
      <c r="E28" s="475">
        <v>217652.33532135841</v>
      </c>
      <c r="F28" s="427">
        <v>25.375006675291367</v>
      </c>
      <c r="G28" s="417">
        <v>7.0722599249844329</v>
      </c>
      <c r="H28" s="428">
        <v>2.0627424781204593</v>
      </c>
      <c r="I28" s="427">
        <v>7.3460644324968492</v>
      </c>
      <c r="J28" s="417">
        <v>2.0474192482829929</v>
      </c>
      <c r="K28" s="476">
        <v>0.59716394741587298</v>
      </c>
      <c r="L28" s="404">
        <v>74342.172056868119</v>
      </c>
      <c r="M28" s="383">
        <v>853600.93335304188</v>
      </c>
      <c r="N28" s="402">
        <v>10562089.165122326</v>
      </c>
      <c r="O28" s="379"/>
      <c r="P28" s="379"/>
    </row>
    <row r="29" spans="2:16" x14ac:dyDescent="0.25">
      <c r="B29" s="521">
        <f t="shared" si="3"/>
        <v>2044</v>
      </c>
      <c r="C29" s="522">
        <f t="shared" si="3"/>
        <v>21</v>
      </c>
      <c r="D29" s="523">
        <f t="shared" si="1"/>
        <v>24</v>
      </c>
      <c r="E29" s="475">
        <v>218740.59699796519</v>
      </c>
      <c r="F29" s="427">
        <v>25.501881708667817</v>
      </c>
      <c r="G29" s="417">
        <v>7.1076212246093533</v>
      </c>
      <c r="H29" s="428">
        <v>2.0730561905110614</v>
      </c>
      <c r="I29" s="427">
        <v>7.3827947546593329</v>
      </c>
      <c r="J29" s="417">
        <v>2.0576563445244078</v>
      </c>
      <c r="K29" s="476">
        <v>0.60014976715295232</v>
      </c>
      <c r="L29" s="404">
        <v>74713.882917152456</v>
      </c>
      <c r="M29" s="383">
        <v>857868.9380198071</v>
      </c>
      <c r="N29" s="87">
        <v>10614899.610947939</v>
      </c>
      <c r="O29" s="379"/>
      <c r="P29" s="379"/>
    </row>
    <row r="30" spans="2:16" x14ac:dyDescent="0.25">
      <c r="B30" s="393">
        <f t="shared" si="3"/>
        <v>2045</v>
      </c>
      <c r="C30" s="387">
        <f t="shared" si="3"/>
        <v>22</v>
      </c>
      <c r="D30" s="396">
        <f t="shared" si="1"/>
        <v>25</v>
      </c>
      <c r="E30" s="475">
        <v>219834.29998295495</v>
      </c>
      <c r="F30" s="427">
        <v>25.629391117211156</v>
      </c>
      <c r="G30" s="417">
        <v>7.1431593307323986</v>
      </c>
      <c r="H30" s="428">
        <v>2.0834214714636161</v>
      </c>
      <c r="I30" s="427">
        <v>7.419708728432628</v>
      </c>
      <c r="J30" s="417">
        <v>2.0679446262470291</v>
      </c>
      <c r="K30" s="476">
        <v>0.60315051598871672</v>
      </c>
      <c r="L30" s="404">
        <v>75087.452331738197</v>
      </c>
      <c r="M30" s="383">
        <v>862158.28270990588</v>
      </c>
      <c r="N30" s="402">
        <v>10667974.10900267</v>
      </c>
      <c r="O30" s="379"/>
      <c r="P30" s="379"/>
    </row>
    <row r="31" spans="2:16" x14ac:dyDescent="0.25">
      <c r="B31" s="395">
        <f t="shared" si="3"/>
        <v>2046</v>
      </c>
      <c r="C31" s="387">
        <f t="shared" si="3"/>
        <v>23</v>
      </c>
      <c r="D31" s="396">
        <f t="shared" si="1"/>
        <v>26</v>
      </c>
      <c r="E31" s="475">
        <v>220933.4714828697</v>
      </c>
      <c r="F31" s="427">
        <v>25.75753807279721</v>
      </c>
      <c r="G31" s="417">
        <v>7.1788751273860605</v>
      </c>
      <c r="H31" s="428">
        <v>2.0938385788209337</v>
      </c>
      <c r="I31" s="427">
        <v>7.4568072720747907</v>
      </c>
      <c r="J31" s="417">
        <v>2.0782843493782641</v>
      </c>
      <c r="K31" s="476">
        <v>0.60616626856866018</v>
      </c>
      <c r="L31" s="404">
        <v>75462.889593396889</v>
      </c>
      <c r="M31" s="383">
        <v>866469.07412345521</v>
      </c>
      <c r="N31" s="402">
        <v>10721313.979547683</v>
      </c>
      <c r="O31" s="379"/>
      <c r="P31" s="379"/>
    </row>
    <row r="32" spans="2:16" x14ac:dyDescent="0.25">
      <c r="B32" s="393">
        <f t="shared" si="3"/>
        <v>2047</v>
      </c>
      <c r="C32" s="387">
        <f t="shared" si="3"/>
        <v>24</v>
      </c>
      <c r="D32" s="396">
        <f t="shared" si="1"/>
        <v>27</v>
      </c>
      <c r="E32" s="475">
        <v>222038.13884028399</v>
      </c>
      <c r="F32" s="427">
        <v>25.886325763161185</v>
      </c>
      <c r="G32" s="417">
        <v>7.2147695030229881</v>
      </c>
      <c r="H32" s="428">
        <v>2.1043077717150385</v>
      </c>
      <c r="I32" s="427">
        <v>7.4940913084351628</v>
      </c>
      <c r="J32" s="417">
        <v>2.0886757711251551</v>
      </c>
      <c r="K32" s="476">
        <v>0.6091970999115035</v>
      </c>
      <c r="L32" s="404">
        <v>75840.204041363861</v>
      </c>
      <c r="M32" s="383">
        <v>870801.41949407244</v>
      </c>
      <c r="N32" s="402">
        <v>10774920.549445421</v>
      </c>
      <c r="O32" s="379"/>
      <c r="P32" s="379"/>
    </row>
    <row r="33" spans="2:16" x14ac:dyDescent="0.25">
      <c r="B33" s="395">
        <f t="shared" si="3"/>
        <v>2048</v>
      </c>
      <c r="C33" s="387">
        <f t="shared" si="3"/>
        <v>25</v>
      </c>
      <c r="D33" s="396">
        <f t="shared" si="1"/>
        <v>28</v>
      </c>
      <c r="E33" s="475">
        <v>223148.32953448544</v>
      </c>
      <c r="F33" s="427">
        <v>26.015757391976997</v>
      </c>
      <c r="G33" s="417">
        <v>7.250843350538104</v>
      </c>
      <c r="H33" s="428">
        <v>2.1148293105736138</v>
      </c>
      <c r="I33" s="427">
        <v>7.5315617649773401</v>
      </c>
      <c r="J33" s="417">
        <v>2.0991191499807806</v>
      </c>
      <c r="K33" s="476">
        <v>0.61224308541106121</v>
      </c>
      <c r="L33" s="404">
        <v>76219.40506157068</v>
      </c>
      <c r="M33" s="383">
        <v>875155.42659154267</v>
      </c>
      <c r="N33" s="402">
        <v>10828795.152192652</v>
      </c>
      <c r="O33" s="379"/>
      <c r="P33" s="379"/>
    </row>
    <row r="34" spans="2:16" x14ac:dyDescent="0.25">
      <c r="B34" s="393">
        <f t="shared" si="3"/>
        <v>2049</v>
      </c>
      <c r="C34" s="387">
        <f t="shared" si="3"/>
        <v>26</v>
      </c>
      <c r="D34" s="396">
        <f t="shared" si="1"/>
        <v>29</v>
      </c>
      <c r="E34" s="475">
        <v>224264.07118215782</v>
      </c>
      <c r="F34" s="427">
        <v>26.145836178936872</v>
      </c>
      <c r="G34" s="417">
        <v>7.2870975672907923</v>
      </c>
      <c r="H34" s="428">
        <v>2.1254034571264815</v>
      </c>
      <c r="I34" s="427">
        <v>7.5692195738022221</v>
      </c>
      <c r="J34" s="417">
        <v>2.109614745730684</v>
      </c>
      <c r="K34" s="476">
        <v>0.61530430083811627</v>
      </c>
      <c r="L34" s="404">
        <v>76600.502086878492</v>
      </c>
      <c r="M34" s="383">
        <v>879531.20372450026</v>
      </c>
      <c r="N34" s="402">
        <v>10882939.127953611</v>
      </c>
      <c r="O34" s="379"/>
      <c r="P34" s="379"/>
    </row>
    <row r="35" spans="2:16" x14ac:dyDescent="0.25">
      <c r="B35" s="395">
        <f t="shared" si="3"/>
        <v>2050</v>
      </c>
      <c r="C35" s="387">
        <f t="shared" si="3"/>
        <v>27</v>
      </c>
      <c r="D35" s="396">
        <f t="shared" si="1"/>
        <v>30</v>
      </c>
      <c r="E35" s="475">
        <v>225385.39153806859</v>
      </c>
      <c r="F35" s="427">
        <v>26.276565359831558</v>
      </c>
      <c r="G35" s="417">
        <v>7.3235330551272471</v>
      </c>
      <c r="H35" s="428">
        <v>2.1360304744121135</v>
      </c>
      <c r="I35" s="427">
        <v>7.6070656716712364</v>
      </c>
      <c r="J35" s="417">
        <v>2.1201628194593383</v>
      </c>
      <c r="K35" s="476">
        <v>0.61838082234230685</v>
      </c>
      <c r="L35" s="404">
        <v>76983.504597312916</v>
      </c>
      <c r="M35" s="383">
        <v>883928.85974312306</v>
      </c>
      <c r="N35" s="402">
        <v>10937353.82359338</v>
      </c>
      <c r="O35" s="379"/>
      <c r="P35" s="379"/>
    </row>
    <row r="36" spans="2:16" x14ac:dyDescent="0.25">
      <c r="B36" s="393">
        <f t="shared" si="3"/>
        <v>2051</v>
      </c>
      <c r="C36" s="387">
        <f t="shared" si="3"/>
        <v>28</v>
      </c>
      <c r="D36" s="396">
        <f t="shared" si="1"/>
        <v>31</v>
      </c>
      <c r="E36" s="475">
        <v>226512.3184957589</v>
      </c>
      <c r="F36" s="427">
        <v>26.407948186630712</v>
      </c>
      <c r="G36" s="417">
        <v>7.3601507204028813</v>
      </c>
      <c r="H36" s="428">
        <v>2.1467106267841736</v>
      </c>
      <c r="I36" s="427">
        <v>7.6451010000295909</v>
      </c>
      <c r="J36" s="417">
        <v>2.1307636335566338</v>
      </c>
      <c r="K36" s="476">
        <v>0.6214727264540183</v>
      </c>
      <c r="L36" s="404">
        <v>77368.422120299467</v>
      </c>
      <c r="M36" s="383">
        <v>888348.50404183823</v>
      </c>
      <c r="N36" s="402">
        <v>10992040.592711344</v>
      </c>
      <c r="O36" s="379"/>
      <c r="P36" s="379"/>
    </row>
    <row r="37" spans="2:16" x14ac:dyDescent="0.25">
      <c r="B37" s="395">
        <f t="shared" si="3"/>
        <v>2052</v>
      </c>
      <c r="C37" s="387">
        <f t="shared" si="3"/>
        <v>29</v>
      </c>
      <c r="D37" s="396">
        <f t="shared" si="1"/>
        <v>32</v>
      </c>
      <c r="E37" s="475">
        <v>227644.88008823764</v>
      </c>
      <c r="F37" s="427">
        <v>26.539987927563857</v>
      </c>
      <c r="G37" s="417">
        <v>7.3969514740048936</v>
      </c>
      <c r="H37" s="428">
        <v>2.1574441799180941</v>
      </c>
      <c r="I37" s="427">
        <v>7.6833265050297364</v>
      </c>
      <c r="J37" s="417">
        <v>2.1414174517244167</v>
      </c>
      <c r="K37" s="476">
        <v>0.62458009008628812</v>
      </c>
      <c r="L37" s="404">
        <v>77755.264230900939</v>
      </c>
      <c r="M37" s="383">
        <v>892790.24656204716</v>
      </c>
      <c r="N37" s="402">
        <v>11047000.795674896</v>
      </c>
      <c r="O37" s="379"/>
      <c r="P37" s="379"/>
    </row>
    <row r="38" spans="2:16" x14ac:dyDescent="0.25">
      <c r="B38" s="393">
        <f t="shared" si="3"/>
        <v>2053</v>
      </c>
      <c r="C38" s="387">
        <f t="shared" si="3"/>
        <v>30</v>
      </c>
      <c r="D38" s="396">
        <f t="shared" si="1"/>
        <v>33</v>
      </c>
      <c r="E38" s="475">
        <v>228783.1044886788</v>
      </c>
      <c r="F38" s="427">
        <v>26.672687867201674</v>
      </c>
      <c r="G38" s="417">
        <v>7.4339362313749184</v>
      </c>
      <c r="H38" s="428">
        <v>2.1682314008176844</v>
      </c>
      <c r="I38" s="427">
        <v>7.7217431375548848</v>
      </c>
      <c r="J38" s="417">
        <v>2.1521245389830383</v>
      </c>
      <c r="K38" s="476">
        <v>0.62770299053671952</v>
      </c>
      <c r="L38" s="404">
        <v>78144.040552055434</v>
      </c>
      <c r="M38" s="383">
        <v>897254.1977948572</v>
      </c>
      <c r="N38" s="402">
        <v>11102235.799653269</v>
      </c>
      <c r="O38" s="379"/>
      <c r="P38" s="379"/>
    </row>
    <row r="39" spans="2:16" x14ac:dyDescent="0.25">
      <c r="B39" s="343">
        <f t="shared" si="3"/>
        <v>2054</v>
      </c>
      <c r="C39" s="342">
        <f t="shared" si="3"/>
        <v>31</v>
      </c>
      <c r="D39" s="377">
        <f t="shared" si="1"/>
        <v>34</v>
      </c>
      <c r="E39" s="475">
        <v>229927.02001112216</v>
      </c>
      <c r="F39" s="427">
        <v>26.806051306537675</v>
      </c>
      <c r="G39" s="417">
        <v>7.471105912531792</v>
      </c>
      <c r="H39" s="428">
        <v>2.1790725578217724</v>
      </c>
      <c r="I39" s="427">
        <v>7.760351853242657</v>
      </c>
      <c r="J39" s="417">
        <v>2.1628851616779539</v>
      </c>
      <c r="K39" s="476">
        <v>0.63084150548940299</v>
      </c>
      <c r="L39" s="404">
        <v>78534.760754815696</v>
      </c>
      <c r="M39" s="383">
        <v>901740.46878383169</v>
      </c>
      <c r="N39" s="402">
        <v>11157746.978651533</v>
      </c>
      <c r="O39" s="379"/>
      <c r="P39" s="379"/>
    </row>
    <row r="40" spans="2:16" x14ac:dyDescent="0.25">
      <c r="B40" s="343">
        <f t="shared" si="3"/>
        <v>2055</v>
      </c>
      <c r="C40" s="342">
        <f t="shared" si="3"/>
        <v>32</v>
      </c>
      <c r="D40" s="377">
        <f t="shared" si="1"/>
        <v>35</v>
      </c>
      <c r="E40" s="475">
        <v>231076.65511117771</v>
      </c>
      <c r="F40" s="427">
        <v>26.940081563070358</v>
      </c>
      <c r="G40" s="417">
        <v>7.5084614420944487</v>
      </c>
      <c r="H40" s="428">
        <v>2.1899679206108811</v>
      </c>
      <c r="I40" s="427">
        <v>7.7991536125088672</v>
      </c>
      <c r="J40" s="417">
        <v>2.1736995874863432</v>
      </c>
      <c r="K40" s="476">
        <v>0.63399571301685009</v>
      </c>
      <c r="L40" s="404">
        <v>78927.434558589739</v>
      </c>
      <c r="M40" s="383">
        <v>906249.17112775065</v>
      </c>
      <c r="N40" s="402">
        <v>11213535.713544793</v>
      </c>
      <c r="O40" s="379"/>
      <c r="P40" s="379"/>
    </row>
    <row r="41" spans="2:16" x14ac:dyDescent="0.25">
      <c r="B41" s="343">
        <f t="shared" si="3"/>
        <v>2056</v>
      </c>
      <c r="C41" s="342">
        <f t="shared" si="3"/>
        <v>33</v>
      </c>
      <c r="D41" s="377">
        <f t="shared" si="1"/>
        <v>36</v>
      </c>
      <c r="E41" s="475">
        <v>232232.03838673356</v>
      </c>
      <c r="F41" s="427">
        <v>27.074781970885706</v>
      </c>
      <c r="G41" s="417">
        <v>7.5460037493049192</v>
      </c>
      <c r="H41" s="428">
        <v>2.2009177602139349</v>
      </c>
      <c r="I41" s="427">
        <v>7.8381493805714122</v>
      </c>
      <c r="J41" s="417">
        <v>2.1845680854237743</v>
      </c>
      <c r="K41" s="476">
        <v>0.63716569158193415</v>
      </c>
      <c r="L41" s="404">
        <v>79322.071731382704</v>
      </c>
      <c r="M41" s="383">
        <v>910780.41698338918</v>
      </c>
      <c r="N41" s="402">
        <v>11269603.392112514</v>
      </c>
      <c r="O41" s="379"/>
      <c r="P41" s="379"/>
    </row>
    <row r="42" spans="2:16" ht="15.75" thickBot="1" x14ac:dyDescent="0.3">
      <c r="B42" s="397">
        <v>2057</v>
      </c>
      <c r="C42" s="398">
        <v>34</v>
      </c>
      <c r="D42" s="399">
        <v>37</v>
      </c>
      <c r="E42" s="477">
        <v>233393.19857866722</v>
      </c>
      <c r="F42" s="429">
        <v>27.210155880740135</v>
      </c>
      <c r="G42" s="419">
        <v>7.5837337680514434</v>
      </c>
      <c r="H42" s="430">
        <v>2.2119223490150044</v>
      </c>
      <c r="I42" s="429">
        <v>7.8773401274742696</v>
      </c>
      <c r="J42" s="419">
        <v>2.1954909258508923</v>
      </c>
      <c r="K42" s="478">
        <v>0.64035152003984375</v>
      </c>
      <c r="L42" s="413">
        <v>79718.682090039627</v>
      </c>
      <c r="M42" s="409">
        <v>915334.31906830589</v>
      </c>
      <c r="N42" s="403">
        <v>11325951.409073075</v>
      </c>
      <c r="O42" s="379"/>
      <c r="P42" s="379"/>
    </row>
    <row r="43" spans="2:16" ht="15.75" thickBot="1" x14ac:dyDescent="0.3">
      <c r="F43" s="306">
        <v>921.63563170950829</v>
      </c>
      <c r="G43" s="306">
        <v>256.86876961194031</v>
      </c>
      <c r="H43" s="306">
        <v>74.920057803482607</v>
      </c>
      <c r="I43" s="306">
        <v>246.96663317101667</v>
      </c>
      <c r="J43" s="306">
        <v>68.83199066443818</v>
      </c>
      <c r="K43" s="306">
        <v>20.075997277127801</v>
      </c>
      <c r="L43" s="441">
        <v>2499302.3276906894</v>
      </c>
      <c r="M43" s="441">
        <v>28697127.627859071</v>
      </c>
      <c r="N43" s="441">
        <v>355085859.1469962</v>
      </c>
      <c r="O43" s="25"/>
      <c r="P43" s="25"/>
    </row>
    <row r="44" spans="2:16" x14ac:dyDescent="0.25">
      <c r="F44" s="306"/>
      <c r="G44" s="306"/>
      <c r="H44" s="306"/>
      <c r="I44" s="306">
        <v>674.66899853849168</v>
      </c>
      <c r="J44" s="306">
        <v>188.03677894750211</v>
      </c>
      <c r="K44" s="306">
        <v>54.844060526354809</v>
      </c>
      <c r="L44" s="61"/>
      <c r="M44" s="61"/>
      <c r="N44" s="61"/>
      <c r="O44" s="25"/>
      <c r="P44" s="25"/>
    </row>
    <row r="45" spans="2:16" hidden="1" x14ac:dyDescent="0.25">
      <c r="B45" s="18" t="s">
        <v>139</v>
      </c>
      <c r="I45" s="60"/>
    </row>
    <row r="46" spans="2:16" ht="15" hidden="1" customHeight="1" x14ac:dyDescent="0.25">
      <c r="B46" s="574" t="s">
        <v>1</v>
      </c>
      <c r="C46" s="576" t="s">
        <v>2</v>
      </c>
      <c r="D46" s="576" t="s">
        <v>22</v>
      </c>
      <c r="E46" s="578" t="s">
        <v>47</v>
      </c>
      <c r="F46" s="580" t="s">
        <v>48</v>
      </c>
      <c r="G46" s="573"/>
      <c r="H46" s="567"/>
      <c r="I46" s="580" t="s">
        <v>50</v>
      </c>
      <c r="J46" s="573"/>
      <c r="K46" s="567"/>
      <c r="L46" s="566" t="s">
        <v>136</v>
      </c>
      <c r="M46" s="573"/>
      <c r="N46" s="567"/>
      <c r="O46" s="18"/>
      <c r="P46" s="18"/>
    </row>
    <row r="47" spans="2:16" ht="15.75" hidden="1" thickBot="1" x14ac:dyDescent="0.3">
      <c r="B47" s="575"/>
      <c r="C47" s="577"/>
      <c r="D47" s="577"/>
      <c r="E47" s="579"/>
      <c r="F47" s="380" t="s">
        <v>35</v>
      </c>
      <c r="G47" s="381" t="s">
        <v>36</v>
      </c>
      <c r="H47" s="382" t="s">
        <v>37</v>
      </c>
      <c r="I47" s="380" t="s">
        <v>35</v>
      </c>
      <c r="J47" s="381" t="s">
        <v>36</v>
      </c>
      <c r="K47" s="382" t="s">
        <v>37</v>
      </c>
      <c r="L47" s="405" t="s">
        <v>35</v>
      </c>
      <c r="M47" s="381" t="s">
        <v>36</v>
      </c>
      <c r="N47" s="382" t="s">
        <v>37</v>
      </c>
      <c r="O47" s="474"/>
      <c r="P47" s="474"/>
    </row>
    <row r="48" spans="2:16" hidden="1" x14ac:dyDescent="0.25">
      <c r="B48" s="101">
        <v>2021</v>
      </c>
      <c r="C48" s="102">
        <v>0</v>
      </c>
      <c r="D48" s="138">
        <v>1</v>
      </c>
      <c r="E48" s="163" t="e">
        <f t="shared" ref="E48:E53" si="4">$E$54*(1+0.005)^(B48-$B$54)</f>
        <v>#REF!</v>
      </c>
      <c r="F48" s="167" t="e">
        <f>ROUND(((#REF!*$E48*365*#REF!)/1000000),1)</f>
        <v>#REF!</v>
      </c>
      <c r="G48" s="168" t="e">
        <f>ROUND(((#REF!*$E48*365*#REF!)/1000000),1)</f>
        <v>#REF!</v>
      </c>
      <c r="H48" s="169" t="e">
        <f>ROUND(((#REF!*$E48*365*#REF!)/1000000),1)</f>
        <v>#REF!</v>
      </c>
      <c r="I48" s="171" t="e">
        <f>ROUND((F48*0.3*0.59)/2,0)</f>
        <v>#REF!</v>
      </c>
      <c r="J48" s="168">
        <v>0</v>
      </c>
      <c r="K48" s="169" t="e">
        <f t="shared" ref="K48:K53" si="5">ROUND(H48*0.3*0.59,0)</f>
        <v>#REF!</v>
      </c>
      <c r="L48" s="438" t="e">
        <f>I48*#REF!*#REF!</f>
        <v>#REF!</v>
      </c>
      <c r="M48" s="437" t="e">
        <f>J48*#REF!*#REF!</f>
        <v>#REF!</v>
      </c>
      <c r="N48" s="170" t="e">
        <f>K48*#REF!*#REF!</f>
        <v>#REF!</v>
      </c>
      <c r="O48" s="53"/>
      <c r="P48" s="53"/>
    </row>
    <row r="49" spans="2:16" hidden="1" x14ac:dyDescent="0.25">
      <c r="B49" s="389">
        <v>2022</v>
      </c>
      <c r="C49" s="384">
        <v>0</v>
      </c>
      <c r="D49" s="139">
        <v>2</v>
      </c>
      <c r="E49" s="421" t="e">
        <f t="shared" si="4"/>
        <v>#REF!</v>
      </c>
      <c r="F49" s="431" t="e">
        <f>ROUND(((#REF!*$E49*365*#REF!)/1000000),1)</f>
        <v>#REF!</v>
      </c>
      <c r="G49" s="415" t="e">
        <f>ROUND(((#REF!*$E49*365*#REF!)/1000000),1)</f>
        <v>#REF!</v>
      </c>
      <c r="H49" s="414" t="e">
        <f>ROUND(((#REF!*$E49*365*#REF!)/1000000),1)</f>
        <v>#REF!</v>
      </c>
      <c r="I49" s="132" t="e">
        <f t="shared" ref="I49:I50" si="6">ROUND((F49*0.3*0.59)/2,0)</f>
        <v>#REF!</v>
      </c>
      <c r="J49" s="415">
        <v>0</v>
      </c>
      <c r="K49" s="414" t="e">
        <f t="shared" si="5"/>
        <v>#REF!</v>
      </c>
      <c r="L49" s="149" t="e">
        <f>I49*#REF!*#REF!</f>
        <v>#REF!</v>
      </c>
      <c r="M49" s="144" t="e">
        <f>J49*#REF!*#REF!</f>
        <v>#REF!</v>
      </c>
      <c r="N49" s="161" t="e">
        <f>K49*#REF!*#REF!</f>
        <v>#REF!</v>
      </c>
      <c r="O49" s="53"/>
      <c r="P49" s="53"/>
    </row>
    <row r="50" spans="2:16" hidden="1" x14ac:dyDescent="0.25">
      <c r="B50" s="389">
        <v>2023</v>
      </c>
      <c r="C50" s="384">
        <v>0</v>
      </c>
      <c r="D50" s="139">
        <v>3</v>
      </c>
      <c r="E50" s="421" t="e">
        <f t="shared" si="4"/>
        <v>#REF!</v>
      </c>
      <c r="F50" s="431" t="e">
        <f>ROUND(((#REF!*$E50*365*#REF!)/1000000),1)</f>
        <v>#REF!</v>
      </c>
      <c r="G50" s="415" t="e">
        <f>ROUND(((#REF!*$E50*365*#REF!)/1000000),1)</f>
        <v>#REF!</v>
      </c>
      <c r="H50" s="414" t="e">
        <f>ROUND(((#REF!*$E50*365*#REF!)/1000000),1)</f>
        <v>#REF!</v>
      </c>
      <c r="I50" s="132" t="e">
        <f t="shared" si="6"/>
        <v>#REF!</v>
      </c>
      <c r="J50" s="415">
        <v>0</v>
      </c>
      <c r="K50" s="414" t="e">
        <f t="shared" si="5"/>
        <v>#REF!</v>
      </c>
      <c r="L50" s="149" t="e">
        <f>I50*#REF!*#REF!</f>
        <v>#REF!</v>
      </c>
      <c r="M50" s="144" t="e">
        <f>J50*#REF!*#REF!</f>
        <v>#REF!</v>
      </c>
      <c r="N50" s="161" t="e">
        <f>K50*#REF!*#REF!</f>
        <v>#REF!</v>
      </c>
      <c r="O50" s="53"/>
      <c r="P50" s="53"/>
    </row>
    <row r="51" spans="2:16" hidden="1" x14ac:dyDescent="0.25">
      <c r="B51" s="389">
        <v>2024</v>
      </c>
      <c r="C51" s="384">
        <v>0</v>
      </c>
      <c r="D51" s="139">
        <v>4</v>
      </c>
      <c r="E51" s="421" t="e">
        <f t="shared" si="4"/>
        <v>#REF!</v>
      </c>
      <c r="F51" s="431" t="e">
        <f>ROUND(((#REF!*$E51*365*#REF!)/1000000),1)</f>
        <v>#REF!</v>
      </c>
      <c r="G51" s="415" t="e">
        <f>ROUND(((#REF!*$E51*365*#REF!)/1000000),1)</f>
        <v>#REF!</v>
      </c>
      <c r="H51" s="414" t="e">
        <f>ROUND(((#REF!*$E51*365*#REF!)/1000000),1)</f>
        <v>#REF!</v>
      </c>
      <c r="I51" s="132" t="e">
        <f t="shared" ref="I51:I53" si="7">ROUND(F51*0.3*0.59,0)</f>
        <v>#REF!</v>
      </c>
      <c r="J51" s="415">
        <v>0</v>
      </c>
      <c r="K51" s="414" t="e">
        <f t="shared" si="5"/>
        <v>#REF!</v>
      </c>
      <c r="L51" s="149" t="e">
        <f>I51*#REF!*#REF!</f>
        <v>#REF!</v>
      </c>
      <c r="M51" s="144" t="e">
        <f>J51*#REF!*#REF!</f>
        <v>#REF!</v>
      </c>
      <c r="N51" s="161" t="e">
        <f>K51*#REF!*#REF!</f>
        <v>#REF!</v>
      </c>
      <c r="O51" s="53"/>
      <c r="P51" s="53"/>
    </row>
    <row r="52" spans="2:16" hidden="1" x14ac:dyDescent="0.25">
      <c r="B52" s="389">
        <v>2025</v>
      </c>
      <c r="C52" s="384">
        <v>0</v>
      </c>
      <c r="D52" s="139">
        <v>5</v>
      </c>
      <c r="E52" s="421" t="e">
        <f t="shared" si="4"/>
        <v>#REF!</v>
      </c>
      <c r="F52" s="431" t="e">
        <f>ROUND(((#REF!*$E52*365*#REF!)/1000000),1)</f>
        <v>#REF!</v>
      </c>
      <c r="G52" s="415" t="e">
        <f>ROUND(((#REF!*$E52*365*#REF!)/1000000),1)</f>
        <v>#REF!</v>
      </c>
      <c r="H52" s="414" t="e">
        <f>ROUND(((#REF!*$E52*365*#REF!)/1000000),1)</f>
        <v>#REF!</v>
      </c>
      <c r="I52" s="132" t="e">
        <f t="shared" si="7"/>
        <v>#REF!</v>
      </c>
      <c r="J52" s="415">
        <v>0</v>
      </c>
      <c r="K52" s="414" t="e">
        <f t="shared" si="5"/>
        <v>#REF!</v>
      </c>
      <c r="L52" s="149" t="e">
        <f>I52*#REF!*#REF!</f>
        <v>#REF!</v>
      </c>
      <c r="M52" s="144" t="e">
        <f>J52*#REF!*#REF!</f>
        <v>#REF!</v>
      </c>
      <c r="N52" s="161" t="e">
        <f>K52*#REF!*#REF!</f>
        <v>#REF!</v>
      </c>
      <c r="O52" s="53"/>
      <c r="P52" s="53"/>
    </row>
    <row r="53" spans="2:16" hidden="1" x14ac:dyDescent="0.25">
      <c r="B53" s="389">
        <v>2026</v>
      </c>
      <c r="C53" s="384">
        <v>0</v>
      </c>
      <c r="D53" s="139">
        <v>6</v>
      </c>
      <c r="E53" s="421" t="e">
        <f t="shared" si="4"/>
        <v>#REF!</v>
      </c>
      <c r="F53" s="431" t="e">
        <f>ROUND(((#REF!*$E53*365*#REF!)/1000000),1)</f>
        <v>#REF!</v>
      </c>
      <c r="G53" s="415" t="e">
        <f>ROUND(((#REF!*$E53*365*#REF!)/1000000),1)</f>
        <v>#REF!</v>
      </c>
      <c r="H53" s="414" t="e">
        <f>ROUND(((#REF!*$E53*365*#REF!)/1000000),1)</f>
        <v>#REF!</v>
      </c>
      <c r="I53" s="132" t="e">
        <f t="shared" si="7"/>
        <v>#REF!</v>
      </c>
      <c r="J53" s="415">
        <v>0</v>
      </c>
      <c r="K53" s="414" t="e">
        <f t="shared" si="5"/>
        <v>#REF!</v>
      </c>
      <c r="L53" s="149" t="e">
        <f>I53*#REF!*#REF!</f>
        <v>#REF!</v>
      </c>
      <c r="M53" s="144" t="e">
        <f>J53*#REF!*#REF!</f>
        <v>#REF!</v>
      </c>
      <c r="N53" s="161" t="e">
        <f>K53*#REF!*#REF!</f>
        <v>#REF!</v>
      </c>
      <c r="O53" s="53"/>
      <c r="P53" s="53"/>
    </row>
    <row r="54" spans="2:16" hidden="1" x14ac:dyDescent="0.25">
      <c r="B54" s="391">
        <v>2027</v>
      </c>
      <c r="C54" s="385">
        <v>1</v>
      </c>
      <c r="D54" s="140">
        <v>7</v>
      </c>
      <c r="E54" s="422" t="e">
        <f>#REF!</f>
        <v>#REF!</v>
      </c>
      <c r="F54" s="172" t="e">
        <f>ROUND(((#REF!*$E54*365*#REF!)/1000000),1)</f>
        <v>#REF!</v>
      </c>
      <c r="G54" s="69" t="e">
        <f>ROUND(((#REF!*$E54*365*#REF!)/1000000),1)</f>
        <v>#REF!</v>
      </c>
      <c r="H54" s="71" t="e">
        <f>ROUND(((#REF!*$E54*365*#REF!)/1000000),1)</f>
        <v>#REF!</v>
      </c>
      <c r="I54" s="173" t="e">
        <f>ROUND(F54-(F54*#REF!),1)</f>
        <v>#REF!</v>
      </c>
      <c r="J54" s="69" t="e">
        <f>ROUND(G54-(G54*#REF!),1)</f>
        <v>#REF!</v>
      </c>
      <c r="K54" s="71" t="e">
        <f>ROUND(H54-(H54*#REF!),2)</f>
        <v>#REF!</v>
      </c>
      <c r="L54" s="150" t="e">
        <f>I54*#REF!*#REF!</f>
        <v>#REF!</v>
      </c>
      <c r="M54" s="145" t="e">
        <f>J54*#REF!*#REF!</f>
        <v>#REF!</v>
      </c>
      <c r="N54" s="162" t="e">
        <f>K54*#REF!*#REF!</f>
        <v>#REF!</v>
      </c>
      <c r="O54" s="53"/>
      <c r="P54" s="53"/>
    </row>
    <row r="55" spans="2:16" hidden="1" x14ac:dyDescent="0.25">
      <c r="B55" s="393">
        <v>2028</v>
      </c>
      <c r="C55" s="386">
        <v>2</v>
      </c>
      <c r="D55" s="141">
        <v>8</v>
      </c>
      <c r="E55" s="475" t="e">
        <f t="shared" ref="E55:E84" si="8">$E$54*(1+0.005)^(B55-$B$54)</f>
        <v>#REF!</v>
      </c>
      <c r="F55" s="472" t="e">
        <f>ROUND(((#REF!*$E55*365*#REF!)/1000000),1)</f>
        <v>#REF!</v>
      </c>
      <c r="G55" s="480" t="e">
        <f>ROUND(((#REF!*$E55*365*#REF!)/1000000),1)</f>
        <v>#REF!</v>
      </c>
      <c r="H55" s="481" t="e">
        <f>ROUND(((#REF!*$E55*365*#REF!)/1000000),1)</f>
        <v>#REF!</v>
      </c>
      <c r="I55" s="482" t="e">
        <f>ROUND(F55-(F55*#REF!),1)</f>
        <v>#REF!</v>
      </c>
      <c r="J55" s="480" t="e">
        <f>ROUND(G55-(G55*#REF!),1)</f>
        <v>#REF!</v>
      </c>
      <c r="K55" s="481" t="e">
        <f>ROUND(H55-(H55*#REF!),2)</f>
        <v>#REF!</v>
      </c>
      <c r="L55" s="483" t="e">
        <f>I55*#REF!*#REF!</f>
        <v>#REF!</v>
      </c>
      <c r="M55" s="484" t="e">
        <f>J55*#REF!*#REF!</f>
        <v>#REF!</v>
      </c>
      <c r="N55" s="485" t="e">
        <f>K55*#REF!*#REF!</f>
        <v>#REF!</v>
      </c>
      <c r="O55" s="53"/>
      <c r="P55" s="53"/>
    </row>
    <row r="56" spans="2:16" hidden="1" x14ac:dyDescent="0.25">
      <c r="B56" s="395">
        <v>2029</v>
      </c>
      <c r="C56" s="387">
        <v>3</v>
      </c>
      <c r="D56" s="142">
        <v>9</v>
      </c>
      <c r="E56" s="475" t="e">
        <f t="shared" si="8"/>
        <v>#REF!</v>
      </c>
      <c r="F56" s="472" t="e">
        <f>ROUND(((#REF!*$E56*365*#REF!)/1000000),1)</f>
        <v>#REF!</v>
      </c>
      <c r="G56" s="480" t="e">
        <f>ROUND(((#REF!*$E56*365*#REF!)/1000000),1)</f>
        <v>#REF!</v>
      </c>
      <c r="H56" s="481" t="e">
        <f>ROUND(((#REF!*$E56*365*#REF!)/1000000),1)</f>
        <v>#REF!</v>
      </c>
      <c r="I56" s="482" t="e">
        <f>ROUND(F56-(F56*#REF!),1)</f>
        <v>#REF!</v>
      </c>
      <c r="J56" s="480" t="e">
        <f>ROUND(G56-(G56*#REF!),1)</f>
        <v>#REF!</v>
      </c>
      <c r="K56" s="481" t="e">
        <f>ROUND(H56-(H56*#REF!),2)</f>
        <v>#REF!</v>
      </c>
      <c r="L56" s="483" t="e">
        <f>I56*#REF!*#REF!</f>
        <v>#REF!</v>
      </c>
      <c r="M56" s="484" t="e">
        <f>J56*#REF!*#REF!</f>
        <v>#REF!</v>
      </c>
      <c r="N56" s="485" t="e">
        <f>K56*#REF!*#REF!</f>
        <v>#REF!</v>
      </c>
      <c r="O56" s="53"/>
      <c r="P56" s="53"/>
    </row>
    <row r="57" spans="2:16" hidden="1" x14ac:dyDescent="0.25">
      <c r="B57" s="393">
        <v>2030</v>
      </c>
      <c r="C57" s="387">
        <v>4</v>
      </c>
      <c r="D57" s="142">
        <v>10</v>
      </c>
      <c r="E57" s="475" t="e">
        <f t="shared" si="8"/>
        <v>#REF!</v>
      </c>
      <c r="F57" s="472" t="e">
        <f>ROUND(((#REF!*$E57*365*#REF!)/1000000),1)</f>
        <v>#REF!</v>
      </c>
      <c r="G57" s="480" t="e">
        <f>ROUND(((#REF!*$E57*365*#REF!)/1000000),1)</f>
        <v>#REF!</v>
      </c>
      <c r="H57" s="481" t="e">
        <f>ROUND(((#REF!*$E57*365*#REF!)/1000000),1)</f>
        <v>#REF!</v>
      </c>
      <c r="I57" s="482" t="e">
        <f>ROUND(F57-(F57*#REF!),1)</f>
        <v>#REF!</v>
      </c>
      <c r="J57" s="480" t="e">
        <f>ROUND(G57-(G57*#REF!),1)</f>
        <v>#REF!</v>
      </c>
      <c r="K57" s="481" t="e">
        <f>ROUND(H57-(H57*#REF!),2)</f>
        <v>#REF!</v>
      </c>
      <c r="L57" s="483" t="e">
        <f>I57*#REF!*#REF!</f>
        <v>#REF!</v>
      </c>
      <c r="M57" s="484" t="e">
        <f>J57*#REF!*#REF!</f>
        <v>#REF!</v>
      </c>
      <c r="N57" s="485" t="e">
        <f>K57*#REF!*#REF!</f>
        <v>#REF!</v>
      </c>
      <c r="O57" s="53"/>
      <c r="P57" s="53"/>
    </row>
    <row r="58" spans="2:16" hidden="1" x14ac:dyDescent="0.25">
      <c r="B58" s="395">
        <v>2031</v>
      </c>
      <c r="C58" s="387">
        <v>5</v>
      </c>
      <c r="D58" s="142">
        <v>11</v>
      </c>
      <c r="E58" s="475" t="e">
        <f t="shared" si="8"/>
        <v>#REF!</v>
      </c>
      <c r="F58" s="472" t="e">
        <f>ROUND(((#REF!*$E58*365*#REF!)/1000000),1)</f>
        <v>#REF!</v>
      </c>
      <c r="G58" s="480" t="e">
        <f>ROUND(((#REF!*$E58*365*#REF!)/1000000),1)</f>
        <v>#REF!</v>
      </c>
      <c r="H58" s="481" t="e">
        <f>ROUND(((#REF!*$E58*365*#REF!)/1000000),1)</f>
        <v>#REF!</v>
      </c>
      <c r="I58" s="482" t="e">
        <f>ROUND(F58-(F58*#REF!),1)</f>
        <v>#REF!</v>
      </c>
      <c r="J58" s="480" t="e">
        <f>ROUND(G58-(G58*#REF!),1)</f>
        <v>#REF!</v>
      </c>
      <c r="K58" s="481" t="e">
        <f>ROUND(H58-(H58*#REF!),2)</f>
        <v>#REF!</v>
      </c>
      <c r="L58" s="483" t="e">
        <f>I58*#REF!*#REF!</f>
        <v>#REF!</v>
      </c>
      <c r="M58" s="484" t="e">
        <f>J58*#REF!*#REF!</f>
        <v>#REF!</v>
      </c>
      <c r="N58" s="485" t="e">
        <f>K58*#REF!*#REF!</f>
        <v>#REF!</v>
      </c>
      <c r="O58" s="53"/>
      <c r="P58" s="53"/>
    </row>
    <row r="59" spans="2:16" hidden="1" x14ac:dyDescent="0.25">
      <c r="B59" s="393">
        <v>2032</v>
      </c>
      <c r="C59" s="387">
        <v>6</v>
      </c>
      <c r="D59" s="142">
        <v>12</v>
      </c>
      <c r="E59" s="475" t="e">
        <f t="shared" si="8"/>
        <v>#REF!</v>
      </c>
      <c r="F59" s="472" t="e">
        <f>ROUND(((#REF!*$E59*365*#REF!)/1000000),1)</f>
        <v>#REF!</v>
      </c>
      <c r="G59" s="480" t="e">
        <f>ROUND(((#REF!*$E59*365*#REF!)/1000000),1)</f>
        <v>#REF!</v>
      </c>
      <c r="H59" s="481" t="e">
        <f>ROUND(((#REF!*$E59*365*#REF!)/1000000),1)</f>
        <v>#REF!</v>
      </c>
      <c r="I59" s="482" t="e">
        <f>ROUND(F59-(F59*#REF!),1)</f>
        <v>#REF!</v>
      </c>
      <c r="J59" s="480" t="e">
        <f>ROUND(G59-(G59*#REF!),1)</f>
        <v>#REF!</v>
      </c>
      <c r="K59" s="481" t="e">
        <f>ROUND(H59-(H59*#REF!),2)</f>
        <v>#REF!</v>
      </c>
      <c r="L59" s="483" t="e">
        <f>I59*#REF!*#REF!</f>
        <v>#REF!</v>
      </c>
      <c r="M59" s="484" t="e">
        <f>J59*#REF!*#REF!</f>
        <v>#REF!</v>
      </c>
      <c r="N59" s="485" t="e">
        <f>K59*#REF!*#REF!</f>
        <v>#REF!</v>
      </c>
      <c r="O59" s="53"/>
      <c r="P59" s="53"/>
    </row>
    <row r="60" spans="2:16" hidden="1" x14ac:dyDescent="0.25">
      <c r="B60" s="395">
        <v>2033</v>
      </c>
      <c r="C60" s="387">
        <v>7</v>
      </c>
      <c r="D60" s="142">
        <v>13</v>
      </c>
      <c r="E60" s="475" t="e">
        <f t="shared" si="8"/>
        <v>#REF!</v>
      </c>
      <c r="F60" s="472" t="e">
        <f>ROUND(((#REF!*$E60*365*#REF!)/1000000),1)</f>
        <v>#REF!</v>
      </c>
      <c r="G60" s="480" t="e">
        <f>ROUND(((#REF!*$E60*365*#REF!)/1000000),1)</f>
        <v>#REF!</v>
      </c>
      <c r="H60" s="481" t="e">
        <f>ROUND(((#REF!*$E60*365*#REF!)/1000000),1)</f>
        <v>#REF!</v>
      </c>
      <c r="I60" s="482" t="e">
        <f>ROUND(F60-(F60*#REF!),1)</f>
        <v>#REF!</v>
      </c>
      <c r="J60" s="480" t="e">
        <f>ROUND(G60-(G60*#REF!),1)</f>
        <v>#REF!</v>
      </c>
      <c r="K60" s="481" t="e">
        <f>ROUND(H60-(H60*#REF!),2)</f>
        <v>#REF!</v>
      </c>
      <c r="L60" s="483" t="e">
        <f>I60*#REF!*#REF!</f>
        <v>#REF!</v>
      </c>
      <c r="M60" s="484" t="e">
        <f>J60*#REF!*#REF!</f>
        <v>#REF!</v>
      </c>
      <c r="N60" s="485" t="e">
        <f>K60*#REF!*#REF!</f>
        <v>#REF!</v>
      </c>
      <c r="O60" s="53"/>
      <c r="P60" s="53"/>
    </row>
    <row r="61" spans="2:16" hidden="1" x14ac:dyDescent="0.25">
      <c r="B61" s="393">
        <v>2034</v>
      </c>
      <c r="C61" s="387">
        <v>8</v>
      </c>
      <c r="D61" s="142">
        <v>14</v>
      </c>
      <c r="E61" s="475" t="e">
        <f t="shared" si="8"/>
        <v>#REF!</v>
      </c>
      <c r="F61" s="472" t="e">
        <f>ROUND(((#REF!*$E61*365*#REF!)/1000000),1)</f>
        <v>#REF!</v>
      </c>
      <c r="G61" s="480" t="e">
        <f>ROUND(((#REF!*$E61*365*#REF!)/1000000),1)</f>
        <v>#REF!</v>
      </c>
      <c r="H61" s="481" t="e">
        <f>ROUND(((#REF!*$E61*365*#REF!)/1000000),1)</f>
        <v>#REF!</v>
      </c>
      <c r="I61" s="482" t="e">
        <f>ROUND(F61-(F61*#REF!),1)</f>
        <v>#REF!</v>
      </c>
      <c r="J61" s="480" t="e">
        <f>ROUND(G61-(G61*#REF!),1)</f>
        <v>#REF!</v>
      </c>
      <c r="K61" s="481" t="e">
        <f>ROUND(H61-(H61*#REF!),2)</f>
        <v>#REF!</v>
      </c>
      <c r="L61" s="483" t="e">
        <f>I61*#REF!*#REF!</f>
        <v>#REF!</v>
      </c>
      <c r="M61" s="484" t="e">
        <f>J61*#REF!*#REF!</f>
        <v>#REF!</v>
      </c>
      <c r="N61" s="485" t="e">
        <f>K61*#REF!*#REF!</f>
        <v>#REF!</v>
      </c>
      <c r="O61" s="53"/>
      <c r="P61" s="53"/>
    </row>
    <row r="62" spans="2:16" hidden="1" x14ac:dyDescent="0.25">
      <c r="B62" s="395">
        <v>2035</v>
      </c>
      <c r="C62" s="387">
        <v>9</v>
      </c>
      <c r="D62" s="142">
        <v>15</v>
      </c>
      <c r="E62" s="475" t="e">
        <f t="shared" si="8"/>
        <v>#REF!</v>
      </c>
      <c r="F62" s="472" t="e">
        <f>ROUND(((#REF!*$E62*365*#REF!)/1000000),1)</f>
        <v>#REF!</v>
      </c>
      <c r="G62" s="480" t="e">
        <f>ROUND(((#REF!*$E62*365*#REF!)/1000000),1)</f>
        <v>#REF!</v>
      </c>
      <c r="H62" s="481" t="e">
        <f>ROUND(((#REF!*$E62*365*#REF!)/1000000),1)</f>
        <v>#REF!</v>
      </c>
      <c r="I62" s="482" t="e">
        <f>ROUND(F62-(F62*#REF!),1)</f>
        <v>#REF!</v>
      </c>
      <c r="J62" s="480" t="e">
        <f>ROUND(G62-(G62*#REF!),1)</f>
        <v>#REF!</v>
      </c>
      <c r="K62" s="481" t="e">
        <f>ROUND(H62-(H62*#REF!),2)</f>
        <v>#REF!</v>
      </c>
      <c r="L62" s="483" t="e">
        <f>I62*#REF!*#REF!</f>
        <v>#REF!</v>
      </c>
      <c r="M62" s="484" t="e">
        <f>J62*#REF!*#REF!</f>
        <v>#REF!</v>
      </c>
      <c r="N62" s="485" t="e">
        <f>K62*#REF!*#REF!</f>
        <v>#REF!</v>
      </c>
      <c r="O62" s="53"/>
      <c r="P62" s="53"/>
    </row>
    <row r="63" spans="2:16" hidden="1" x14ac:dyDescent="0.25">
      <c r="B63" s="393">
        <v>2036</v>
      </c>
      <c r="C63" s="387">
        <v>10</v>
      </c>
      <c r="D63" s="142">
        <v>16</v>
      </c>
      <c r="E63" s="475" t="e">
        <f t="shared" si="8"/>
        <v>#REF!</v>
      </c>
      <c r="F63" s="472" t="e">
        <f>ROUND(((#REF!*$E63*365*#REF!)/1000000),1)</f>
        <v>#REF!</v>
      </c>
      <c r="G63" s="480" t="e">
        <f>ROUND(((#REF!*$E63*365*#REF!)/1000000),1)</f>
        <v>#REF!</v>
      </c>
      <c r="H63" s="481" t="e">
        <f>ROUND(((#REF!*$E63*365*#REF!)/1000000),1)</f>
        <v>#REF!</v>
      </c>
      <c r="I63" s="482" t="e">
        <f>ROUND(F63-(F63*#REF!),1)</f>
        <v>#REF!</v>
      </c>
      <c r="J63" s="480" t="e">
        <f>ROUND(G63-(G63*#REF!),1)</f>
        <v>#REF!</v>
      </c>
      <c r="K63" s="481" t="e">
        <f>ROUND(H63-(H63*#REF!),2)</f>
        <v>#REF!</v>
      </c>
      <c r="L63" s="483" t="e">
        <f>I63*#REF!*#REF!</f>
        <v>#REF!</v>
      </c>
      <c r="M63" s="484" t="e">
        <f>J63*#REF!*#REF!</f>
        <v>#REF!</v>
      </c>
      <c r="N63" s="485" t="e">
        <f>K63*#REF!*#REF!</f>
        <v>#REF!</v>
      </c>
      <c r="O63" s="53"/>
      <c r="P63" s="53"/>
    </row>
    <row r="64" spans="2:16" hidden="1" x14ac:dyDescent="0.25">
      <c r="B64" s="395">
        <v>2037</v>
      </c>
      <c r="C64" s="387">
        <v>11</v>
      </c>
      <c r="D64" s="142">
        <v>17</v>
      </c>
      <c r="E64" s="475" t="e">
        <f t="shared" si="8"/>
        <v>#REF!</v>
      </c>
      <c r="F64" s="472" t="e">
        <f>ROUND(((#REF!*$E64*365*#REF!)/1000000),1)</f>
        <v>#REF!</v>
      </c>
      <c r="G64" s="480" t="e">
        <f>ROUND(((#REF!*$E64*365*#REF!)/1000000),1)</f>
        <v>#REF!</v>
      </c>
      <c r="H64" s="481" t="e">
        <f>ROUND(((#REF!*$E64*365*#REF!)/1000000),1)</f>
        <v>#REF!</v>
      </c>
      <c r="I64" s="482" t="e">
        <f>ROUND(F64-(F64*#REF!),1)</f>
        <v>#REF!</v>
      </c>
      <c r="J64" s="480" t="e">
        <f>ROUND(G64-(G64*#REF!),1)</f>
        <v>#REF!</v>
      </c>
      <c r="K64" s="481" t="e">
        <f>ROUND(H64-(H64*#REF!),2)</f>
        <v>#REF!</v>
      </c>
      <c r="L64" s="483" t="e">
        <f>I64*#REF!*#REF!</f>
        <v>#REF!</v>
      </c>
      <c r="M64" s="484" t="e">
        <f>J64*#REF!*#REF!</f>
        <v>#REF!</v>
      </c>
      <c r="N64" s="485" t="e">
        <f>K64*#REF!*#REF!</f>
        <v>#REF!</v>
      </c>
      <c r="O64" s="53"/>
      <c r="P64" s="53"/>
    </row>
    <row r="65" spans="2:16" hidden="1" x14ac:dyDescent="0.25">
      <c r="B65" s="393">
        <v>2038</v>
      </c>
      <c r="C65" s="387">
        <v>12</v>
      </c>
      <c r="D65" s="142">
        <v>18</v>
      </c>
      <c r="E65" s="475" t="e">
        <f t="shared" si="8"/>
        <v>#REF!</v>
      </c>
      <c r="F65" s="472" t="e">
        <f>ROUND(((#REF!*$E65*365*#REF!)/1000000),1)</f>
        <v>#REF!</v>
      </c>
      <c r="G65" s="480" t="e">
        <f>ROUND(((#REF!*$E65*365*#REF!)/1000000),1)</f>
        <v>#REF!</v>
      </c>
      <c r="H65" s="481" t="e">
        <f>ROUND(((#REF!*$E65*365*#REF!)/1000000),1)</f>
        <v>#REF!</v>
      </c>
      <c r="I65" s="482" t="e">
        <f>ROUND(F65-(F65*#REF!),1)</f>
        <v>#REF!</v>
      </c>
      <c r="J65" s="480" t="e">
        <f>ROUND(G65-(G65*#REF!),1)</f>
        <v>#REF!</v>
      </c>
      <c r="K65" s="481" t="e">
        <f>ROUND(H65-(H65*#REF!),2)</f>
        <v>#REF!</v>
      </c>
      <c r="L65" s="483" t="e">
        <f>I65*#REF!*#REF!</f>
        <v>#REF!</v>
      </c>
      <c r="M65" s="484" t="e">
        <f>J65*#REF!*#REF!</f>
        <v>#REF!</v>
      </c>
      <c r="N65" s="485" t="e">
        <f>K65*#REF!*#REF!</f>
        <v>#REF!</v>
      </c>
      <c r="O65" s="53"/>
      <c r="P65" s="53"/>
    </row>
    <row r="66" spans="2:16" hidden="1" x14ac:dyDescent="0.25">
      <c r="B66" s="395">
        <v>2039</v>
      </c>
      <c r="C66" s="387">
        <v>13</v>
      </c>
      <c r="D66" s="142">
        <v>19</v>
      </c>
      <c r="E66" s="475" t="e">
        <f t="shared" si="8"/>
        <v>#REF!</v>
      </c>
      <c r="F66" s="472" t="e">
        <f>ROUND(((#REF!*$E66*365*#REF!)/1000000),1)</f>
        <v>#REF!</v>
      </c>
      <c r="G66" s="480" t="e">
        <f>ROUND(((#REF!*$E66*365*#REF!)/1000000),1)</f>
        <v>#REF!</v>
      </c>
      <c r="H66" s="481" t="e">
        <f>ROUND(((#REF!*$E66*365*#REF!)/1000000),1)</f>
        <v>#REF!</v>
      </c>
      <c r="I66" s="482" t="e">
        <f>ROUND(F66-(F66*#REF!),1)</f>
        <v>#REF!</v>
      </c>
      <c r="J66" s="480" t="e">
        <f>ROUND(G66-(G66*#REF!),1)</f>
        <v>#REF!</v>
      </c>
      <c r="K66" s="481" t="e">
        <f>ROUND(H66-(H66*#REF!),2)</f>
        <v>#REF!</v>
      </c>
      <c r="L66" s="483" t="e">
        <f>I66*#REF!*#REF!</f>
        <v>#REF!</v>
      </c>
      <c r="M66" s="484" t="e">
        <f>J66*#REF!*#REF!</f>
        <v>#REF!</v>
      </c>
      <c r="N66" s="485" t="e">
        <f>K66*#REF!*#REF!</f>
        <v>#REF!</v>
      </c>
      <c r="O66" s="53"/>
      <c r="P66" s="53"/>
    </row>
    <row r="67" spans="2:16" hidden="1" x14ac:dyDescent="0.25">
      <c r="B67" s="393">
        <v>2040</v>
      </c>
      <c r="C67" s="387">
        <v>14</v>
      </c>
      <c r="D67" s="142">
        <v>20</v>
      </c>
      <c r="E67" s="475" t="e">
        <f t="shared" si="8"/>
        <v>#REF!</v>
      </c>
      <c r="F67" s="472" t="e">
        <f>ROUND(((#REF!*$E67*365*#REF!)/1000000),1)</f>
        <v>#REF!</v>
      </c>
      <c r="G67" s="480" t="e">
        <f>ROUND(((#REF!*$E67*365*#REF!)/1000000),1)</f>
        <v>#REF!</v>
      </c>
      <c r="H67" s="481" t="e">
        <f>ROUND(((#REF!*$E67*365*#REF!)/1000000),1)</f>
        <v>#REF!</v>
      </c>
      <c r="I67" s="482" t="e">
        <f>ROUND(F67-(F67*#REF!),1)</f>
        <v>#REF!</v>
      </c>
      <c r="J67" s="480" t="e">
        <f>ROUND(G67-(G67*#REF!),1)</f>
        <v>#REF!</v>
      </c>
      <c r="K67" s="481" t="e">
        <f>ROUND(H67-(H67*#REF!),2)</f>
        <v>#REF!</v>
      </c>
      <c r="L67" s="483" t="e">
        <f>I67*#REF!*#REF!</f>
        <v>#REF!</v>
      </c>
      <c r="M67" s="484" t="e">
        <f>J67*#REF!*#REF!</f>
        <v>#REF!</v>
      </c>
      <c r="N67" s="485" t="e">
        <f>K67*#REF!*#REF!</f>
        <v>#REF!</v>
      </c>
      <c r="O67" s="53"/>
      <c r="P67" s="53"/>
    </row>
    <row r="68" spans="2:16" hidden="1" x14ac:dyDescent="0.25">
      <c r="B68" s="395">
        <v>2041</v>
      </c>
      <c r="C68" s="387">
        <v>15</v>
      </c>
      <c r="D68" s="142">
        <v>21</v>
      </c>
      <c r="E68" s="475" t="e">
        <f t="shared" si="8"/>
        <v>#REF!</v>
      </c>
      <c r="F68" s="472" t="e">
        <f>ROUND(((#REF!*$E68*365*#REF!)/1000000),1)</f>
        <v>#REF!</v>
      </c>
      <c r="G68" s="480" t="e">
        <f>ROUND(((#REF!*$E68*365*#REF!)/1000000),1)</f>
        <v>#REF!</v>
      </c>
      <c r="H68" s="481" t="e">
        <f>ROUND(((#REF!*$E68*365*#REF!)/1000000),1)</f>
        <v>#REF!</v>
      </c>
      <c r="I68" s="482" t="e">
        <f>ROUND(F68-(F68*#REF!),1)</f>
        <v>#REF!</v>
      </c>
      <c r="J68" s="480" t="e">
        <f>ROUND(G68-(G68*#REF!),1)</f>
        <v>#REF!</v>
      </c>
      <c r="K68" s="481" t="e">
        <f>ROUND(H68-(H68*#REF!),2)</f>
        <v>#REF!</v>
      </c>
      <c r="L68" s="483" t="e">
        <f>I68*#REF!*#REF!</f>
        <v>#REF!</v>
      </c>
      <c r="M68" s="484" t="e">
        <f>J68*#REF!*#REF!</f>
        <v>#REF!</v>
      </c>
      <c r="N68" s="485" t="e">
        <f>K68*#REF!*#REF!</f>
        <v>#REF!</v>
      </c>
      <c r="O68" s="53"/>
      <c r="P68" s="53"/>
    </row>
    <row r="69" spans="2:16" hidden="1" x14ac:dyDescent="0.25">
      <c r="B69" s="393">
        <v>2042</v>
      </c>
      <c r="C69" s="387">
        <v>16</v>
      </c>
      <c r="D69" s="142">
        <v>22</v>
      </c>
      <c r="E69" s="475" t="e">
        <f t="shared" si="8"/>
        <v>#REF!</v>
      </c>
      <c r="F69" s="472" t="e">
        <f>ROUND(((#REF!*$E69*365*#REF!)/1000000),1)</f>
        <v>#REF!</v>
      </c>
      <c r="G69" s="480" t="e">
        <f>ROUND(((#REF!*$E69*365*#REF!)/1000000),1)</f>
        <v>#REF!</v>
      </c>
      <c r="H69" s="481" t="e">
        <f>ROUND(((#REF!*$E69*365*#REF!)/1000000),1)</f>
        <v>#REF!</v>
      </c>
      <c r="I69" s="482" t="e">
        <f>ROUND(F69-(F69*#REF!),1)</f>
        <v>#REF!</v>
      </c>
      <c r="J69" s="480" t="e">
        <f>ROUND(G69-(G69*#REF!),1)</f>
        <v>#REF!</v>
      </c>
      <c r="K69" s="481" t="e">
        <f>ROUND(H69-(H69*#REF!),2)</f>
        <v>#REF!</v>
      </c>
      <c r="L69" s="483" t="e">
        <f>I69*#REF!*#REF!</f>
        <v>#REF!</v>
      </c>
      <c r="M69" s="484" t="e">
        <f>J69*#REF!*#REF!</f>
        <v>#REF!</v>
      </c>
      <c r="N69" s="485" t="e">
        <f>K69*#REF!*#REF!</f>
        <v>#REF!</v>
      </c>
      <c r="O69" s="53"/>
      <c r="P69" s="53"/>
    </row>
    <row r="70" spans="2:16" hidden="1" x14ac:dyDescent="0.25">
      <c r="B70" s="395">
        <v>2043</v>
      </c>
      <c r="C70" s="387">
        <v>17</v>
      </c>
      <c r="D70" s="142">
        <v>23</v>
      </c>
      <c r="E70" s="475" t="e">
        <f t="shared" si="8"/>
        <v>#REF!</v>
      </c>
      <c r="F70" s="472" t="e">
        <f>ROUND(((#REF!*$E70*365*#REF!)/1000000),1)</f>
        <v>#REF!</v>
      </c>
      <c r="G70" s="480" t="e">
        <f>ROUND(((#REF!*$E70*365*#REF!)/1000000),1)</f>
        <v>#REF!</v>
      </c>
      <c r="H70" s="481" t="e">
        <f>ROUND(((#REF!*$E70*365*#REF!)/1000000),1)</f>
        <v>#REF!</v>
      </c>
      <c r="I70" s="482" t="e">
        <f>ROUND(F70-(F70*#REF!),1)</f>
        <v>#REF!</v>
      </c>
      <c r="J70" s="480" t="e">
        <f>ROUND(G70-(G70*#REF!),1)</f>
        <v>#REF!</v>
      </c>
      <c r="K70" s="481" t="e">
        <f>ROUND(H70-(H70*#REF!),2)</f>
        <v>#REF!</v>
      </c>
      <c r="L70" s="483" t="e">
        <f>I70*#REF!*#REF!</f>
        <v>#REF!</v>
      </c>
      <c r="M70" s="484" t="e">
        <f>J70*#REF!*#REF!</f>
        <v>#REF!</v>
      </c>
      <c r="N70" s="485" t="e">
        <f>K70*#REF!*#REF!</f>
        <v>#REF!</v>
      </c>
      <c r="O70" s="53"/>
      <c r="P70" s="53"/>
    </row>
    <row r="71" spans="2:16" hidden="1" x14ac:dyDescent="0.25">
      <c r="B71" s="393">
        <v>2044</v>
      </c>
      <c r="C71" s="387">
        <v>18</v>
      </c>
      <c r="D71" s="142">
        <v>24</v>
      </c>
      <c r="E71" s="475" t="e">
        <f t="shared" si="8"/>
        <v>#REF!</v>
      </c>
      <c r="F71" s="472" t="e">
        <f>ROUND(((#REF!*$E71*365*#REF!)/1000000),1)</f>
        <v>#REF!</v>
      </c>
      <c r="G71" s="480" t="e">
        <f>ROUND(((#REF!*$E71*365*#REF!)/1000000),1)</f>
        <v>#REF!</v>
      </c>
      <c r="H71" s="481" t="e">
        <f>ROUND(((#REF!*$E71*365*#REF!)/1000000),1)</f>
        <v>#REF!</v>
      </c>
      <c r="I71" s="482" t="e">
        <f>ROUND(F71-(F71*#REF!),1)</f>
        <v>#REF!</v>
      </c>
      <c r="J71" s="480" t="e">
        <f>ROUND(G71-(G71*#REF!),1)</f>
        <v>#REF!</v>
      </c>
      <c r="K71" s="481" t="e">
        <f>ROUND(H71-(H71*#REF!),2)</f>
        <v>#REF!</v>
      </c>
      <c r="L71" s="483" t="e">
        <f>I71*#REF!*#REF!</f>
        <v>#REF!</v>
      </c>
      <c r="M71" s="484" t="e">
        <f>J71*#REF!*#REF!</f>
        <v>#REF!</v>
      </c>
      <c r="N71" s="485" t="e">
        <f>K71*#REF!*#REF!</f>
        <v>#REF!</v>
      </c>
      <c r="O71" s="53"/>
      <c r="P71" s="53"/>
    </row>
    <row r="72" spans="2:16" hidden="1" x14ac:dyDescent="0.25">
      <c r="B72" s="395">
        <v>2045</v>
      </c>
      <c r="C72" s="387">
        <v>19</v>
      </c>
      <c r="D72" s="142">
        <v>25</v>
      </c>
      <c r="E72" s="475" t="e">
        <f t="shared" si="8"/>
        <v>#REF!</v>
      </c>
      <c r="F72" s="472" t="e">
        <f>ROUND(((#REF!*$E72*365*#REF!)/1000000),1)</f>
        <v>#REF!</v>
      </c>
      <c r="G72" s="480" t="e">
        <f>ROUND(((#REF!*$E72*365*#REF!)/1000000),1)</f>
        <v>#REF!</v>
      </c>
      <c r="H72" s="481" t="e">
        <f>ROUND(((#REF!*$E72*365*#REF!)/1000000),1)</f>
        <v>#REF!</v>
      </c>
      <c r="I72" s="482" t="e">
        <f>ROUND(F72-(F72*#REF!),1)</f>
        <v>#REF!</v>
      </c>
      <c r="J72" s="480" t="e">
        <f>ROUND(G72-(G72*#REF!),1)</f>
        <v>#REF!</v>
      </c>
      <c r="K72" s="481" t="e">
        <f>ROUND(H72-(H72*#REF!),2)</f>
        <v>#REF!</v>
      </c>
      <c r="L72" s="483" t="e">
        <f>I72*#REF!*#REF!</f>
        <v>#REF!</v>
      </c>
      <c r="M72" s="484" t="e">
        <f>J72*#REF!*#REF!</f>
        <v>#REF!</v>
      </c>
      <c r="N72" s="485" t="e">
        <f>K72*#REF!*#REF!</f>
        <v>#REF!</v>
      </c>
      <c r="O72" s="53"/>
      <c r="P72" s="53"/>
    </row>
    <row r="73" spans="2:16" hidden="1" x14ac:dyDescent="0.25">
      <c r="B73" s="393">
        <v>2046</v>
      </c>
      <c r="C73" s="387">
        <v>20</v>
      </c>
      <c r="D73" s="142">
        <v>26</v>
      </c>
      <c r="E73" s="475" t="e">
        <f t="shared" si="8"/>
        <v>#REF!</v>
      </c>
      <c r="F73" s="472" t="e">
        <f>ROUND(((#REF!*$E73*365*#REF!)/1000000),1)</f>
        <v>#REF!</v>
      </c>
      <c r="G73" s="480" t="e">
        <f>ROUND(((#REF!*$E73*365*#REF!)/1000000),1)</f>
        <v>#REF!</v>
      </c>
      <c r="H73" s="481" t="e">
        <f>ROUND(((#REF!*$E73*365*#REF!)/1000000),1)</f>
        <v>#REF!</v>
      </c>
      <c r="I73" s="482" t="e">
        <f>ROUND(F73-(F73*#REF!),1)</f>
        <v>#REF!</v>
      </c>
      <c r="J73" s="480" t="e">
        <f>ROUND(G73-(G73*#REF!),1)</f>
        <v>#REF!</v>
      </c>
      <c r="K73" s="481" t="e">
        <f>ROUND(H73-(H73*#REF!),2)</f>
        <v>#REF!</v>
      </c>
      <c r="L73" s="483" t="e">
        <f>I73*#REF!*#REF!</f>
        <v>#REF!</v>
      </c>
      <c r="M73" s="484" t="e">
        <f>J73*#REF!*#REF!</f>
        <v>#REF!</v>
      </c>
      <c r="N73" s="485" t="e">
        <f>K73*#REF!*#REF!</f>
        <v>#REF!</v>
      </c>
      <c r="O73" s="53"/>
      <c r="P73" s="53"/>
    </row>
    <row r="74" spans="2:16" hidden="1" x14ac:dyDescent="0.25">
      <c r="B74" s="391">
        <v>2047</v>
      </c>
      <c r="C74" s="385">
        <v>21</v>
      </c>
      <c r="D74" s="140">
        <v>27</v>
      </c>
      <c r="E74" s="422" t="e">
        <f t="shared" si="8"/>
        <v>#REF!</v>
      </c>
      <c r="F74" s="172" t="e">
        <f>ROUND(((#REF!*$E74*365*#REF!)/1000000),1)</f>
        <v>#REF!</v>
      </c>
      <c r="G74" s="69" t="e">
        <f>ROUND(((#REF!*$E74*365*#REF!)/1000000),1)</f>
        <v>#REF!</v>
      </c>
      <c r="H74" s="71" t="e">
        <f>ROUND(((#REF!*$E74*365*#REF!)/1000000),1)</f>
        <v>#REF!</v>
      </c>
      <c r="I74" s="173" t="e">
        <f>ROUND(F74-(F74*#REF!),1)</f>
        <v>#REF!</v>
      </c>
      <c r="J74" s="69" t="e">
        <f>ROUND(G74-(G74*#REF!),1)</f>
        <v>#REF!</v>
      </c>
      <c r="K74" s="71" t="e">
        <f>ROUND(H74-(H74*#REF!),2)</f>
        <v>#REF!</v>
      </c>
      <c r="L74" s="150" t="e">
        <f>I74*#REF!*#REF!</f>
        <v>#REF!</v>
      </c>
      <c r="M74" s="145" t="e">
        <f>J74*#REF!*#REF!</f>
        <v>#REF!</v>
      </c>
      <c r="N74" s="162" t="e">
        <f>K74*#REF!*#REF!</f>
        <v>#REF!</v>
      </c>
      <c r="O74" s="53"/>
      <c r="P74" s="53"/>
    </row>
    <row r="75" spans="2:16" hidden="1" x14ac:dyDescent="0.25">
      <c r="B75" s="393">
        <v>2048</v>
      </c>
      <c r="C75" s="387">
        <v>22</v>
      </c>
      <c r="D75" s="142">
        <v>28</v>
      </c>
      <c r="E75" s="475" t="e">
        <f t="shared" si="8"/>
        <v>#REF!</v>
      </c>
      <c r="F75" s="472" t="e">
        <f>ROUND(((#REF!*$E75*365*#REF!)/1000000),1)</f>
        <v>#REF!</v>
      </c>
      <c r="G75" s="480" t="e">
        <f>ROUND(((#REF!*$E75*365*#REF!)/1000000),1)</f>
        <v>#REF!</v>
      </c>
      <c r="H75" s="481" t="e">
        <f>ROUND(((#REF!*$E75*365*#REF!)/1000000),1)</f>
        <v>#REF!</v>
      </c>
      <c r="I75" s="482" t="e">
        <f>ROUND(F75-(F75*#REF!),1)</f>
        <v>#REF!</v>
      </c>
      <c r="J75" s="480" t="e">
        <f>ROUND(G75-(G75*#REF!),1)</f>
        <v>#REF!</v>
      </c>
      <c r="K75" s="481" t="e">
        <f>ROUND(H75-(H75*#REF!),2)</f>
        <v>#REF!</v>
      </c>
      <c r="L75" s="483" t="e">
        <f>I75*#REF!*#REF!</f>
        <v>#REF!</v>
      </c>
      <c r="M75" s="484" t="e">
        <f>J75*#REF!*#REF!</f>
        <v>#REF!</v>
      </c>
      <c r="N75" s="485" t="e">
        <f>K75*#REF!*#REF!</f>
        <v>#REF!</v>
      </c>
      <c r="O75" s="53"/>
      <c r="P75" s="53"/>
    </row>
    <row r="76" spans="2:16" hidden="1" x14ac:dyDescent="0.25">
      <c r="B76" s="395">
        <v>2049</v>
      </c>
      <c r="C76" s="387">
        <v>23</v>
      </c>
      <c r="D76" s="142">
        <v>29</v>
      </c>
      <c r="E76" s="475" t="e">
        <f t="shared" si="8"/>
        <v>#REF!</v>
      </c>
      <c r="F76" s="472" t="e">
        <f>ROUND(((#REF!*$E76*365*#REF!)/1000000),1)</f>
        <v>#REF!</v>
      </c>
      <c r="G76" s="480" t="e">
        <f>ROUND(((#REF!*$E76*365*#REF!)/1000000),1)</f>
        <v>#REF!</v>
      </c>
      <c r="H76" s="481" t="e">
        <f>ROUND(((#REF!*$E76*365*#REF!)/1000000),1)</f>
        <v>#REF!</v>
      </c>
      <c r="I76" s="482" t="e">
        <f>ROUND(F76-(F76*#REF!),1)</f>
        <v>#REF!</v>
      </c>
      <c r="J76" s="480" t="e">
        <f>ROUND(G76-(G76*#REF!),1)</f>
        <v>#REF!</v>
      </c>
      <c r="K76" s="481" t="e">
        <f>ROUND(H76-(H76*#REF!),2)</f>
        <v>#REF!</v>
      </c>
      <c r="L76" s="483" t="e">
        <f>I76*#REF!*#REF!</f>
        <v>#REF!</v>
      </c>
      <c r="M76" s="484" t="e">
        <f>J76*#REF!*#REF!</f>
        <v>#REF!</v>
      </c>
      <c r="N76" s="485" t="e">
        <f>K76*#REF!*#REF!</f>
        <v>#REF!</v>
      </c>
      <c r="O76" s="53"/>
      <c r="P76" s="53"/>
    </row>
    <row r="77" spans="2:16" hidden="1" x14ac:dyDescent="0.25">
      <c r="B77" s="393">
        <v>2050</v>
      </c>
      <c r="C77" s="387">
        <v>24</v>
      </c>
      <c r="D77" s="142">
        <v>30</v>
      </c>
      <c r="E77" s="475" t="e">
        <f t="shared" si="8"/>
        <v>#REF!</v>
      </c>
      <c r="F77" s="472" t="e">
        <f>ROUND(((#REF!*$E77*365*#REF!)/1000000),1)</f>
        <v>#REF!</v>
      </c>
      <c r="G77" s="480" t="e">
        <f>ROUND(((#REF!*$E77*365*#REF!)/1000000),1)</f>
        <v>#REF!</v>
      </c>
      <c r="H77" s="481" t="e">
        <f>ROUND(((#REF!*$E77*365*#REF!)/1000000),1)</f>
        <v>#REF!</v>
      </c>
      <c r="I77" s="482" t="e">
        <f>ROUND(F77-(F77*#REF!),1)</f>
        <v>#REF!</v>
      </c>
      <c r="J77" s="480" t="e">
        <f>ROUND(G77-(G77*#REF!),1)</f>
        <v>#REF!</v>
      </c>
      <c r="K77" s="481" t="e">
        <f>ROUND(H77-(H77*#REF!),2)</f>
        <v>#REF!</v>
      </c>
      <c r="L77" s="483" t="e">
        <f>I77*#REF!*#REF!</f>
        <v>#REF!</v>
      </c>
      <c r="M77" s="484" t="e">
        <f>J77*#REF!*#REF!</f>
        <v>#REF!</v>
      </c>
      <c r="N77" s="485" t="e">
        <f>K77*#REF!*#REF!</f>
        <v>#REF!</v>
      </c>
      <c r="O77" s="53"/>
      <c r="P77" s="53"/>
    </row>
    <row r="78" spans="2:16" hidden="1" x14ac:dyDescent="0.25">
      <c r="B78" s="395">
        <v>2051</v>
      </c>
      <c r="C78" s="387">
        <v>25</v>
      </c>
      <c r="D78" s="142">
        <v>31</v>
      </c>
      <c r="E78" s="475" t="e">
        <f t="shared" si="8"/>
        <v>#REF!</v>
      </c>
      <c r="F78" s="472" t="e">
        <f>ROUND(((#REF!*$E78*365*#REF!)/1000000),1)</f>
        <v>#REF!</v>
      </c>
      <c r="G78" s="480" t="e">
        <f>ROUND(((#REF!*$E78*365*#REF!)/1000000),1)</f>
        <v>#REF!</v>
      </c>
      <c r="H78" s="481" t="e">
        <f>ROUND(((#REF!*$E78*365*#REF!)/1000000),1)</f>
        <v>#REF!</v>
      </c>
      <c r="I78" s="482" t="e">
        <f>ROUND(F78-(F78*#REF!),1)</f>
        <v>#REF!</v>
      </c>
      <c r="J78" s="480" t="e">
        <f>ROUND(G78-(G78*#REF!),1)</f>
        <v>#REF!</v>
      </c>
      <c r="K78" s="481" t="e">
        <f>ROUND(H78-(H78*#REF!),2)</f>
        <v>#REF!</v>
      </c>
      <c r="L78" s="483" t="e">
        <f>I78*#REF!*#REF!</f>
        <v>#REF!</v>
      </c>
      <c r="M78" s="484" t="e">
        <f>J78*#REF!*#REF!</f>
        <v>#REF!</v>
      </c>
      <c r="N78" s="485" t="e">
        <f>K78*#REF!*#REF!</f>
        <v>#REF!</v>
      </c>
      <c r="O78" s="53"/>
      <c r="P78" s="53"/>
    </row>
    <row r="79" spans="2:16" hidden="1" x14ac:dyDescent="0.25">
      <c r="B79" s="393">
        <v>2052</v>
      </c>
      <c r="C79" s="387">
        <v>26</v>
      </c>
      <c r="D79" s="142">
        <v>32</v>
      </c>
      <c r="E79" s="475" t="e">
        <f t="shared" si="8"/>
        <v>#REF!</v>
      </c>
      <c r="F79" s="472" t="e">
        <f>ROUND(((#REF!*$E79*365*#REF!)/1000000),1)</f>
        <v>#REF!</v>
      </c>
      <c r="G79" s="480" t="e">
        <f>ROUND(((#REF!*$E79*365*#REF!)/1000000),1)</f>
        <v>#REF!</v>
      </c>
      <c r="H79" s="481" t="e">
        <f>ROUND(((#REF!*$E79*365*#REF!)/1000000),1)</f>
        <v>#REF!</v>
      </c>
      <c r="I79" s="482" t="e">
        <f>ROUND(F79-(F79*#REF!),1)</f>
        <v>#REF!</v>
      </c>
      <c r="J79" s="480" t="e">
        <f>ROUND(G79-(G79*#REF!),1)</f>
        <v>#REF!</v>
      </c>
      <c r="K79" s="481" t="e">
        <f>ROUND(H79-(H79*#REF!),2)</f>
        <v>#REF!</v>
      </c>
      <c r="L79" s="483" t="e">
        <f>I79*#REF!*#REF!</f>
        <v>#REF!</v>
      </c>
      <c r="M79" s="484" t="e">
        <f>J79*#REF!*#REF!</f>
        <v>#REF!</v>
      </c>
      <c r="N79" s="485" t="e">
        <f>K79*#REF!*#REF!</f>
        <v>#REF!</v>
      </c>
      <c r="O79" s="53"/>
      <c r="P79" s="53"/>
    </row>
    <row r="80" spans="2:16" hidden="1" x14ac:dyDescent="0.25">
      <c r="B80" s="395">
        <v>2053</v>
      </c>
      <c r="C80" s="387">
        <v>27</v>
      </c>
      <c r="D80" s="142">
        <v>33</v>
      </c>
      <c r="E80" s="475" t="e">
        <f t="shared" si="8"/>
        <v>#REF!</v>
      </c>
      <c r="F80" s="472" t="e">
        <f>ROUND(((#REF!*$E80*365*#REF!)/1000000),1)</f>
        <v>#REF!</v>
      </c>
      <c r="G80" s="480" t="e">
        <f>ROUND(((#REF!*$E80*365*#REF!)/1000000),1)</f>
        <v>#REF!</v>
      </c>
      <c r="H80" s="481" t="e">
        <f>ROUND(((#REF!*$E80*365*#REF!)/1000000),1)</f>
        <v>#REF!</v>
      </c>
      <c r="I80" s="482" t="e">
        <f>ROUND(F80-(F80*#REF!),1)</f>
        <v>#REF!</v>
      </c>
      <c r="J80" s="480" t="e">
        <f>ROUND(G80-(G80*#REF!),1)</f>
        <v>#REF!</v>
      </c>
      <c r="K80" s="481" t="e">
        <f>ROUND(H80-(H80*#REF!),2)</f>
        <v>#REF!</v>
      </c>
      <c r="L80" s="483" t="e">
        <f>I80*#REF!*#REF!</f>
        <v>#REF!</v>
      </c>
      <c r="M80" s="484" t="e">
        <f>J80*#REF!*#REF!</f>
        <v>#REF!</v>
      </c>
      <c r="N80" s="485" t="e">
        <f>K80*#REF!*#REF!</f>
        <v>#REF!</v>
      </c>
      <c r="O80" s="53"/>
      <c r="P80" s="53"/>
    </row>
    <row r="81" spans="2:16" hidden="1" x14ac:dyDescent="0.25">
      <c r="B81" s="393">
        <v>2054</v>
      </c>
      <c r="C81" s="387">
        <v>28</v>
      </c>
      <c r="D81" s="142">
        <v>34</v>
      </c>
      <c r="E81" s="475" t="e">
        <f t="shared" si="8"/>
        <v>#REF!</v>
      </c>
      <c r="F81" s="472" t="e">
        <f>ROUND(((#REF!*$E81*365*#REF!)/1000000),1)</f>
        <v>#REF!</v>
      </c>
      <c r="G81" s="480" t="e">
        <f>ROUND(((#REF!*$E81*365*#REF!)/1000000),1)</f>
        <v>#REF!</v>
      </c>
      <c r="H81" s="481" t="e">
        <f>ROUND(((#REF!*$E81*365*#REF!)/1000000),1)</f>
        <v>#REF!</v>
      </c>
      <c r="I81" s="482" t="e">
        <f>ROUND(F81-(F81*#REF!),1)</f>
        <v>#REF!</v>
      </c>
      <c r="J81" s="480" t="e">
        <f>ROUND(G81-(G81*#REF!),1)</f>
        <v>#REF!</v>
      </c>
      <c r="K81" s="481" t="e">
        <f>ROUND(H81-(H81*#REF!),2)</f>
        <v>#REF!</v>
      </c>
      <c r="L81" s="483" t="e">
        <f>I81*#REF!*#REF!</f>
        <v>#REF!</v>
      </c>
      <c r="M81" s="484" t="e">
        <f>J81*#REF!*#REF!</f>
        <v>#REF!</v>
      </c>
      <c r="N81" s="485" t="e">
        <f>K81*#REF!*#REF!</f>
        <v>#REF!</v>
      </c>
      <c r="O81" s="53"/>
      <c r="P81" s="53"/>
    </row>
    <row r="82" spans="2:16" hidden="1" x14ac:dyDescent="0.25">
      <c r="B82" s="395">
        <v>2055</v>
      </c>
      <c r="C82" s="387">
        <v>29</v>
      </c>
      <c r="D82" s="142">
        <v>35</v>
      </c>
      <c r="E82" s="475" t="e">
        <f t="shared" si="8"/>
        <v>#REF!</v>
      </c>
      <c r="F82" s="472" t="e">
        <f>ROUND(((#REF!*$E82*365*#REF!)/1000000),1)</f>
        <v>#REF!</v>
      </c>
      <c r="G82" s="480" t="e">
        <f>ROUND(((#REF!*$E82*365*#REF!)/1000000),1)</f>
        <v>#REF!</v>
      </c>
      <c r="H82" s="481" t="e">
        <f>ROUND(((#REF!*$E82*365*#REF!)/1000000),1)</f>
        <v>#REF!</v>
      </c>
      <c r="I82" s="482" t="e">
        <f>ROUND(F82-(F82*#REF!),1)</f>
        <v>#REF!</v>
      </c>
      <c r="J82" s="480" t="e">
        <f>ROUND(G82-(G82*#REF!),1)</f>
        <v>#REF!</v>
      </c>
      <c r="K82" s="481" t="e">
        <f>ROUND(H82-(H82*#REF!),2)</f>
        <v>#REF!</v>
      </c>
      <c r="L82" s="483" t="e">
        <f>I82*#REF!*#REF!</f>
        <v>#REF!</v>
      </c>
      <c r="M82" s="484" t="e">
        <f>J82*#REF!*#REF!</f>
        <v>#REF!</v>
      </c>
      <c r="N82" s="485" t="e">
        <f>K82*#REF!*#REF!</f>
        <v>#REF!</v>
      </c>
      <c r="O82" s="53"/>
      <c r="P82" s="53"/>
    </row>
    <row r="83" spans="2:16" hidden="1" x14ac:dyDescent="0.25">
      <c r="B83" s="393">
        <v>2056</v>
      </c>
      <c r="C83" s="387">
        <v>30</v>
      </c>
      <c r="D83" s="142">
        <v>36</v>
      </c>
      <c r="E83" s="475" t="e">
        <f t="shared" si="8"/>
        <v>#REF!</v>
      </c>
      <c r="F83" s="472" t="e">
        <f>ROUND(((#REF!*$E83*365*#REF!)/1000000),1)</f>
        <v>#REF!</v>
      </c>
      <c r="G83" s="480" t="e">
        <f>ROUND(((#REF!*$E83*365*#REF!)/1000000),1)</f>
        <v>#REF!</v>
      </c>
      <c r="H83" s="481" t="e">
        <f>ROUND(((#REF!*$E83*365*#REF!)/1000000),1)</f>
        <v>#REF!</v>
      </c>
      <c r="I83" s="482" t="e">
        <f>ROUND(F83-(F83*#REF!),1)</f>
        <v>#REF!</v>
      </c>
      <c r="J83" s="480" t="e">
        <f>ROUND(G83-(G83*#REF!),1)</f>
        <v>#REF!</v>
      </c>
      <c r="K83" s="481" t="e">
        <f>ROUND(H83-(H83*#REF!),2)</f>
        <v>#REF!</v>
      </c>
      <c r="L83" s="483" t="e">
        <f>I83*#REF!*#REF!</f>
        <v>#REF!</v>
      </c>
      <c r="M83" s="484" t="e">
        <f>J83*#REF!*#REF!</f>
        <v>#REF!</v>
      </c>
      <c r="N83" s="485" t="e">
        <f>K83*#REF!*#REF!</f>
        <v>#REF!</v>
      </c>
      <c r="O83" s="53"/>
      <c r="P83" s="53"/>
    </row>
    <row r="84" spans="2:16" ht="15.75" hidden="1" thickBot="1" x14ac:dyDescent="0.3">
      <c r="B84" s="397">
        <v>2057</v>
      </c>
      <c r="C84" s="398">
        <v>31</v>
      </c>
      <c r="D84" s="143">
        <v>37</v>
      </c>
      <c r="E84" s="477" t="e">
        <f t="shared" si="8"/>
        <v>#REF!</v>
      </c>
      <c r="F84" s="486" t="e">
        <f>ROUND(((#REF!*$E84*365*#REF!)/1000000),1)</f>
        <v>#REF!</v>
      </c>
      <c r="G84" s="487" t="e">
        <f>ROUND(((#REF!*$E84*365*#REF!)/1000000),1)</f>
        <v>#REF!</v>
      </c>
      <c r="H84" s="488" t="e">
        <f>ROUND(((#REF!*$E84*365*#REF!)/1000000),1)</f>
        <v>#REF!</v>
      </c>
      <c r="I84" s="489" t="e">
        <f>ROUND(F84-(F84*#REF!),1)</f>
        <v>#REF!</v>
      </c>
      <c r="J84" s="487" t="e">
        <f>ROUND(G84-(G84*#REF!),1)</f>
        <v>#REF!</v>
      </c>
      <c r="K84" s="488" t="e">
        <f>ROUND(H84-(H84*#REF!),2)</f>
        <v>#REF!</v>
      </c>
      <c r="L84" s="490" t="e">
        <f>I84*#REF!*#REF!</f>
        <v>#REF!</v>
      </c>
      <c r="M84" s="491" t="e">
        <f>J84*#REF!*#REF!</f>
        <v>#REF!</v>
      </c>
      <c r="N84" s="492" t="e">
        <f>K84*#REF!*#REF!</f>
        <v>#REF!</v>
      </c>
      <c r="O84" s="53"/>
      <c r="P84" s="53"/>
    </row>
    <row r="85" spans="2:16" ht="15.75" hidden="1" thickBot="1" x14ac:dyDescent="0.3">
      <c r="F85" s="306" t="e">
        <f>SUM(F48:F84)</f>
        <v>#REF!</v>
      </c>
      <c r="G85" s="306" t="e">
        <f t="shared" ref="G85:K85" si="9">SUM(G48:G84)</f>
        <v>#REF!</v>
      </c>
      <c r="H85" s="306" t="e">
        <f t="shared" si="9"/>
        <v>#REF!</v>
      </c>
      <c r="I85" s="306" t="e">
        <f t="shared" si="9"/>
        <v>#REF!</v>
      </c>
      <c r="J85" s="306" t="e">
        <f t="shared" si="9"/>
        <v>#REF!</v>
      </c>
      <c r="K85" s="306" t="e">
        <f t="shared" si="9"/>
        <v>#REF!</v>
      </c>
      <c r="L85" s="5" t="e">
        <f>SUM(L48:L84)</f>
        <v>#REF!</v>
      </c>
      <c r="M85" s="8" t="e">
        <f>SUM(M48:M84)</f>
        <v>#REF!</v>
      </c>
      <c r="N85" s="4" t="e">
        <f>SUM(N48:N84)</f>
        <v>#REF!</v>
      </c>
      <c r="O85" s="493"/>
      <c r="P85" s="493"/>
    </row>
    <row r="86" spans="2:16" hidden="1" x14ac:dyDescent="0.25">
      <c r="F86" s="306"/>
      <c r="G86" s="306"/>
      <c r="H86" s="306"/>
      <c r="I86" s="306" t="e">
        <f>F85-I85</f>
        <v>#REF!</v>
      </c>
      <c r="J86" s="306" t="e">
        <f>G85-J85</f>
        <v>#REF!</v>
      </c>
      <c r="K86" s="306" t="e">
        <f t="shared" ref="K86" si="10">H85-K85</f>
        <v>#REF!</v>
      </c>
      <c r="L86" s="493"/>
      <c r="M86" s="493"/>
      <c r="N86" s="493"/>
      <c r="O86" s="493"/>
      <c r="P86" s="493"/>
    </row>
    <row r="87" spans="2:16" hidden="1" x14ac:dyDescent="0.25">
      <c r="B87" s="18" t="s">
        <v>140</v>
      </c>
      <c r="I87" s="60"/>
    </row>
    <row r="88" spans="2:16" ht="15" hidden="1" customHeight="1" x14ac:dyDescent="0.25">
      <c r="B88" s="574" t="s">
        <v>1</v>
      </c>
      <c r="C88" s="576" t="s">
        <v>2</v>
      </c>
      <c r="D88" s="576" t="s">
        <v>22</v>
      </c>
      <c r="E88" s="584" t="s">
        <v>47</v>
      </c>
      <c r="F88" s="580" t="s">
        <v>48</v>
      </c>
      <c r="G88" s="573"/>
      <c r="H88" s="567"/>
      <c r="I88" s="580" t="s">
        <v>50</v>
      </c>
      <c r="J88" s="573"/>
      <c r="K88" s="567"/>
      <c r="L88" s="566" t="s">
        <v>136</v>
      </c>
      <c r="M88" s="573"/>
      <c r="N88" s="567"/>
      <c r="O88" s="18"/>
      <c r="P88" s="18"/>
    </row>
    <row r="89" spans="2:16" ht="15.75" hidden="1" thickBot="1" x14ac:dyDescent="0.3">
      <c r="B89" s="575"/>
      <c r="C89" s="577"/>
      <c r="D89" s="577"/>
      <c r="E89" s="585"/>
      <c r="F89" s="380" t="s">
        <v>35</v>
      </c>
      <c r="G89" s="381" t="s">
        <v>36</v>
      </c>
      <c r="H89" s="382" t="s">
        <v>37</v>
      </c>
      <c r="I89" s="380" t="s">
        <v>35</v>
      </c>
      <c r="J89" s="381" t="s">
        <v>36</v>
      </c>
      <c r="K89" s="382" t="s">
        <v>37</v>
      </c>
      <c r="L89" s="405" t="s">
        <v>35</v>
      </c>
      <c r="M89" s="381" t="s">
        <v>36</v>
      </c>
      <c r="N89" s="382" t="s">
        <v>37</v>
      </c>
      <c r="O89" s="474"/>
      <c r="P89" s="474"/>
    </row>
    <row r="90" spans="2:16" hidden="1" x14ac:dyDescent="0.25">
      <c r="B90" s="101">
        <v>2021</v>
      </c>
      <c r="C90" s="102">
        <v>0</v>
      </c>
      <c r="D90" s="138">
        <v>1</v>
      </c>
      <c r="E90" s="163" t="e">
        <f t="shared" ref="E90:E95" si="11">$E$96*(1+0.005)^(B90-$B$96)</f>
        <v>#REF!</v>
      </c>
      <c r="F90" s="164" t="e">
        <f>((#REF!*$E90*1*365)/1000000)</f>
        <v>#REF!</v>
      </c>
      <c r="G90" s="165" t="e">
        <f>((#REF!*$E90*1*365)/1000000)</f>
        <v>#REF!</v>
      </c>
      <c r="H90" s="166" t="e">
        <f>((#REF!*$E90*1*365)/1000000)</f>
        <v>#REF!</v>
      </c>
      <c r="I90" s="167">
        <v>0</v>
      </c>
      <c r="J90" s="168">
        <v>0</v>
      </c>
      <c r="K90" s="169">
        <v>0</v>
      </c>
      <c r="L90" s="438" t="e">
        <f>I90*#REF!*#REF!</f>
        <v>#REF!</v>
      </c>
      <c r="M90" s="437" t="e">
        <f>J90*#REF!*#REF!</f>
        <v>#REF!</v>
      </c>
      <c r="N90" s="170" t="e">
        <f>K90*#REF!*#REF!</f>
        <v>#REF!</v>
      </c>
      <c r="O90" s="53"/>
      <c r="P90" s="53"/>
    </row>
    <row r="91" spans="2:16" hidden="1" x14ac:dyDescent="0.25">
      <c r="B91" s="389">
        <v>2022</v>
      </c>
      <c r="C91" s="384">
        <v>0</v>
      </c>
      <c r="D91" s="139">
        <v>2</v>
      </c>
      <c r="E91" s="421" t="e">
        <f t="shared" si="11"/>
        <v>#REF!</v>
      </c>
      <c r="F91" s="410" t="e">
        <f>((#REF!*$E91*1*365)/1000000)</f>
        <v>#REF!</v>
      </c>
      <c r="G91" s="406" t="e">
        <f>((#REF!*$E91*1*365)/1000000)</f>
        <v>#REF!</v>
      </c>
      <c r="H91" s="411" t="e">
        <f>((#REF!*$E91*1*365)/1000000)</f>
        <v>#REF!</v>
      </c>
      <c r="I91" s="431">
        <v>0</v>
      </c>
      <c r="J91" s="415">
        <v>0</v>
      </c>
      <c r="K91" s="414">
        <v>0</v>
      </c>
      <c r="L91" s="149" t="e">
        <f>I91*#REF!*#REF!</f>
        <v>#REF!</v>
      </c>
      <c r="M91" s="144" t="e">
        <f>J91*#REF!*#REF!</f>
        <v>#REF!</v>
      </c>
      <c r="N91" s="161" t="e">
        <f>K91*#REF!*#REF!</f>
        <v>#REF!</v>
      </c>
      <c r="O91" s="53"/>
      <c r="P91" s="53"/>
    </row>
    <row r="92" spans="2:16" hidden="1" x14ac:dyDescent="0.25">
      <c r="B92" s="389">
        <v>2023</v>
      </c>
      <c r="C92" s="384">
        <v>0</v>
      </c>
      <c r="D92" s="139">
        <v>3</v>
      </c>
      <c r="E92" s="421" t="e">
        <f t="shared" si="11"/>
        <v>#REF!</v>
      </c>
      <c r="F92" s="410" t="e">
        <f>((#REF!*$E92*1*365)/1000000)</f>
        <v>#REF!</v>
      </c>
      <c r="G92" s="406" t="e">
        <f>((#REF!*$E92*1*365)/1000000)</f>
        <v>#REF!</v>
      </c>
      <c r="H92" s="411" t="e">
        <f>((#REF!*$E92*1*365)/1000000)</f>
        <v>#REF!</v>
      </c>
      <c r="I92" s="431">
        <v>0</v>
      </c>
      <c r="J92" s="415">
        <v>0</v>
      </c>
      <c r="K92" s="414">
        <v>0</v>
      </c>
      <c r="L92" s="149" t="e">
        <f>I92*#REF!*#REF!</f>
        <v>#REF!</v>
      </c>
      <c r="M92" s="144" t="e">
        <f>J92*#REF!*#REF!</f>
        <v>#REF!</v>
      </c>
      <c r="N92" s="161" t="e">
        <f>K92*#REF!*#REF!</f>
        <v>#REF!</v>
      </c>
      <c r="O92" s="53"/>
      <c r="P92" s="53"/>
    </row>
    <row r="93" spans="2:16" hidden="1" x14ac:dyDescent="0.25">
      <c r="B93" s="389">
        <v>2024</v>
      </c>
      <c r="C93" s="384">
        <v>0</v>
      </c>
      <c r="D93" s="139">
        <v>4</v>
      </c>
      <c r="E93" s="421" t="e">
        <f t="shared" si="11"/>
        <v>#REF!</v>
      </c>
      <c r="F93" s="410" t="e">
        <f>((#REF!*$E93*1*365)/1000000)</f>
        <v>#REF!</v>
      </c>
      <c r="G93" s="406" t="e">
        <f>((#REF!*$E93*1*365)/1000000)</f>
        <v>#REF!</v>
      </c>
      <c r="H93" s="411" t="e">
        <f>((#REF!*$E93*1*365)/1000000)</f>
        <v>#REF!</v>
      </c>
      <c r="I93" s="431">
        <v>0</v>
      </c>
      <c r="J93" s="415">
        <v>0</v>
      </c>
      <c r="K93" s="414">
        <v>0</v>
      </c>
      <c r="L93" s="149" t="e">
        <f>I93*#REF!*#REF!</f>
        <v>#REF!</v>
      </c>
      <c r="M93" s="144" t="e">
        <f>J93*#REF!*#REF!</f>
        <v>#REF!</v>
      </c>
      <c r="N93" s="161" t="e">
        <f>K93*#REF!*#REF!</f>
        <v>#REF!</v>
      </c>
      <c r="O93" s="53"/>
      <c r="P93" s="53"/>
    </row>
    <row r="94" spans="2:16" hidden="1" x14ac:dyDescent="0.25">
      <c r="B94" s="389">
        <v>2025</v>
      </c>
      <c r="C94" s="384">
        <v>0</v>
      </c>
      <c r="D94" s="139">
        <v>5</v>
      </c>
      <c r="E94" s="421" t="e">
        <f t="shared" si="11"/>
        <v>#REF!</v>
      </c>
      <c r="F94" s="410" t="e">
        <f>((#REF!*$E94*1*365)/1000000)</f>
        <v>#REF!</v>
      </c>
      <c r="G94" s="406" t="e">
        <f>((#REF!*$E94*1*365)/1000000)</f>
        <v>#REF!</v>
      </c>
      <c r="H94" s="411" t="e">
        <f>((#REF!*$E94*1*365)/1000000)</f>
        <v>#REF!</v>
      </c>
      <c r="I94" s="431">
        <v>0</v>
      </c>
      <c r="J94" s="415">
        <v>0</v>
      </c>
      <c r="K94" s="414">
        <v>0</v>
      </c>
      <c r="L94" s="149" t="e">
        <f>I94*#REF!*#REF!</f>
        <v>#REF!</v>
      </c>
      <c r="M94" s="144" t="e">
        <f>J94*#REF!*#REF!</f>
        <v>#REF!</v>
      </c>
      <c r="N94" s="161" t="e">
        <f>K94*#REF!*#REF!</f>
        <v>#REF!</v>
      </c>
      <c r="O94" s="53"/>
      <c r="P94" s="53"/>
    </row>
    <row r="95" spans="2:16" hidden="1" x14ac:dyDescent="0.25">
      <c r="B95" s="389">
        <v>2026</v>
      </c>
      <c r="C95" s="384">
        <v>0</v>
      </c>
      <c r="D95" s="139">
        <v>6</v>
      </c>
      <c r="E95" s="421" t="e">
        <f t="shared" si="11"/>
        <v>#REF!</v>
      </c>
      <c r="F95" s="410" t="e">
        <f>((#REF!*$E95*1*365)/1000000)</f>
        <v>#REF!</v>
      </c>
      <c r="G95" s="406" t="e">
        <f>((#REF!*$E95*1*365)/1000000)</f>
        <v>#REF!</v>
      </c>
      <c r="H95" s="411" t="e">
        <f>((#REF!*$E95*1*365)/1000000)</f>
        <v>#REF!</v>
      </c>
      <c r="I95" s="431">
        <v>0</v>
      </c>
      <c r="J95" s="415">
        <v>0</v>
      </c>
      <c r="K95" s="414">
        <v>0</v>
      </c>
      <c r="L95" s="149" t="e">
        <f>I95*#REF!*#REF!</f>
        <v>#REF!</v>
      </c>
      <c r="M95" s="144" t="e">
        <f>J95*#REF!*#REF!</f>
        <v>#REF!</v>
      </c>
      <c r="N95" s="161" t="e">
        <f>K95*#REF!*#REF!</f>
        <v>#REF!</v>
      </c>
      <c r="O95" s="53"/>
      <c r="P95" s="53"/>
    </row>
    <row r="96" spans="2:16" hidden="1" x14ac:dyDescent="0.25">
      <c r="B96" s="391">
        <v>2027</v>
      </c>
      <c r="C96" s="385">
        <v>1</v>
      </c>
      <c r="D96" s="140">
        <v>7</v>
      </c>
      <c r="E96" s="422" t="e">
        <f>#REF!</f>
        <v>#REF!</v>
      </c>
      <c r="F96" s="425" t="e">
        <f>((#REF!*$E96*1*365)/1000000)</f>
        <v>#REF!</v>
      </c>
      <c r="G96" s="416" t="e">
        <f>((#REF!*$E96*1*365)/1000000)</f>
        <v>#REF!</v>
      </c>
      <c r="H96" s="426" t="e">
        <f>((#REF!*$E96*1*365)/1000000)</f>
        <v>#REF!</v>
      </c>
      <c r="I96" s="425" t="e">
        <f>F96-(F96*#REF!)</f>
        <v>#REF!</v>
      </c>
      <c r="J96" s="416" t="e">
        <f>G96-(G96*#REF!)</f>
        <v>#REF!</v>
      </c>
      <c r="K96" s="426" t="e">
        <f>H96-(H96*#REF!)</f>
        <v>#REF!</v>
      </c>
      <c r="L96" s="150" t="e">
        <f>I96*#REF!*#REF!</f>
        <v>#REF!</v>
      </c>
      <c r="M96" s="145" t="e">
        <f>J96*#REF!*#REF!</f>
        <v>#REF!</v>
      </c>
      <c r="N96" s="162" t="e">
        <f>K96*#REF!*#REF!</f>
        <v>#REF!</v>
      </c>
      <c r="O96" s="53"/>
      <c r="P96" s="53"/>
    </row>
    <row r="97" spans="2:16" hidden="1" x14ac:dyDescent="0.25">
      <c r="B97" s="393">
        <v>2028</v>
      </c>
      <c r="C97" s="386">
        <v>2</v>
      </c>
      <c r="D97" s="141">
        <v>8</v>
      </c>
      <c r="E97" s="475" t="e">
        <f t="shared" ref="E97:E126" si="12">$E$96*(1+0.005)^(B97-$B$96)</f>
        <v>#REF!</v>
      </c>
      <c r="F97" s="427" t="e">
        <f>((#REF!*$E97*1*365)/1000000)</f>
        <v>#REF!</v>
      </c>
      <c r="G97" s="417" t="e">
        <f>((#REF!*$E97*1*365)/1000000)</f>
        <v>#REF!</v>
      </c>
      <c r="H97" s="428" t="e">
        <f>((#REF!*$E97*1*365)/1000000)</f>
        <v>#REF!</v>
      </c>
      <c r="I97" s="427" t="e">
        <f>F97-(F97*#REF!)</f>
        <v>#REF!</v>
      </c>
      <c r="J97" s="417" t="e">
        <f>G97-(G97*#REF!)</f>
        <v>#REF!</v>
      </c>
      <c r="K97" s="428" t="e">
        <f>H97-(H97*#REF!)</f>
        <v>#REF!</v>
      </c>
      <c r="L97" s="483" t="e">
        <f>I97*#REF!*#REF!</f>
        <v>#REF!</v>
      </c>
      <c r="M97" s="484" t="e">
        <f>J97*#REF!*#REF!</f>
        <v>#REF!</v>
      </c>
      <c r="N97" s="485" t="e">
        <f>K97*#REF!*#REF!</f>
        <v>#REF!</v>
      </c>
      <c r="O97" s="53"/>
      <c r="P97" s="53"/>
    </row>
    <row r="98" spans="2:16" hidden="1" x14ac:dyDescent="0.25">
      <c r="B98" s="395">
        <v>2029</v>
      </c>
      <c r="C98" s="387">
        <v>3</v>
      </c>
      <c r="D98" s="142">
        <v>9</v>
      </c>
      <c r="E98" s="475" t="e">
        <f t="shared" si="12"/>
        <v>#REF!</v>
      </c>
      <c r="F98" s="427" t="e">
        <f>((#REF!*$E98*1*365)/1000000)</f>
        <v>#REF!</v>
      </c>
      <c r="G98" s="417" t="e">
        <f>((#REF!*$E98*1*365)/1000000)</f>
        <v>#REF!</v>
      </c>
      <c r="H98" s="428" t="e">
        <f>((#REF!*$E98*1*365)/1000000)</f>
        <v>#REF!</v>
      </c>
      <c r="I98" s="427" t="e">
        <f>F98-(F98*#REF!)</f>
        <v>#REF!</v>
      </c>
      <c r="J98" s="417" t="e">
        <f>G98-(G98*#REF!)</f>
        <v>#REF!</v>
      </c>
      <c r="K98" s="428" t="e">
        <f>H98-(H98*#REF!)</f>
        <v>#REF!</v>
      </c>
      <c r="L98" s="483" t="e">
        <f>I98*#REF!*#REF!</f>
        <v>#REF!</v>
      </c>
      <c r="M98" s="484" t="e">
        <f>J98*#REF!*#REF!</f>
        <v>#REF!</v>
      </c>
      <c r="N98" s="485" t="e">
        <f>K98*#REF!*#REF!</f>
        <v>#REF!</v>
      </c>
      <c r="O98" s="53"/>
      <c r="P98" s="53"/>
    </row>
    <row r="99" spans="2:16" hidden="1" x14ac:dyDescent="0.25">
      <c r="B99" s="393">
        <v>2030</v>
      </c>
      <c r="C99" s="387">
        <v>4</v>
      </c>
      <c r="D99" s="142">
        <v>10</v>
      </c>
      <c r="E99" s="475" t="e">
        <f t="shared" si="12"/>
        <v>#REF!</v>
      </c>
      <c r="F99" s="427" t="e">
        <f>((#REF!*$E99*1*365)/1000000)</f>
        <v>#REF!</v>
      </c>
      <c r="G99" s="417" t="e">
        <f>((#REF!*$E99*1*365)/1000000)</f>
        <v>#REF!</v>
      </c>
      <c r="H99" s="428" t="e">
        <f>((#REF!*$E99*1*365)/1000000)</f>
        <v>#REF!</v>
      </c>
      <c r="I99" s="427" t="e">
        <f>F99-(F99*#REF!)</f>
        <v>#REF!</v>
      </c>
      <c r="J99" s="417" t="e">
        <f>G99-(G99*#REF!)</f>
        <v>#REF!</v>
      </c>
      <c r="K99" s="428" t="e">
        <f>H99-(H99*#REF!)</f>
        <v>#REF!</v>
      </c>
      <c r="L99" s="483" t="e">
        <f>I99*#REF!*#REF!</f>
        <v>#REF!</v>
      </c>
      <c r="M99" s="484" t="e">
        <f>J99*#REF!*#REF!</f>
        <v>#REF!</v>
      </c>
      <c r="N99" s="485" t="e">
        <f>K99*#REF!*#REF!</f>
        <v>#REF!</v>
      </c>
      <c r="O99" s="53"/>
      <c r="P99" s="53"/>
    </row>
    <row r="100" spans="2:16" hidden="1" x14ac:dyDescent="0.25">
      <c r="B100" s="395">
        <v>2031</v>
      </c>
      <c r="C100" s="387">
        <v>5</v>
      </c>
      <c r="D100" s="142">
        <v>11</v>
      </c>
      <c r="E100" s="475" t="e">
        <f t="shared" si="12"/>
        <v>#REF!</v>
      </c>
      <c r="F100" s="427" t="e">
        <f>((#REF!*$E100*1*365)/1000000)</f>
        <v>#REF!</v>
      </c>
      <c r="G100" s="417" t="e">
        <f>((#REF!*$E100*1*365)/1000000)</f>
        <v>#REF!</v>
      </c>
      <c r="H100" s="428" t="e">
        <f>((#REF!*$E100*1*365)/1000000)</f>
        <v>#REF!</v>
      </c>
      <c r="I100" s="427" t="e">
        <f>F100-(F100*#REF!)</f>
        <v>#REF!</v>
      </c>
      <c r="J100" s="417" t="e">
        <f>G100-(G100*#REF!)</f>
        <v>#REF!</v>
      </c>
      <c r="K100" s="428" t="e">
        <f>H100-(H100*#REF!)</f>
        <v>#REF!</v>
      </c>
      <c r="L100" s="483" t="e">
        <f>I100*#REF!*#REF!</f>
        <v>#REF!</v>
      </c>
      <c r="M100" s="484" t="e">
        <f>J100*#REF!*#REF!</f>
        <v>#REF!</v>
      </c>
      <c r="N100" s="485" t="e">
        <f>K100*#REF!*#REF!</f>
        <v>#REF!</v>
      </c>
      <c r="O100" s="53"/>
      <c r="P100" s="53"/>
    </row>
    <row r="101" spans="2:16" hidden="1" x14ac:dyDescent="0.25">
      <c r="B101" s="393">
        <v>2032</v>
      </c>
      <c r="C101" s="387">
        <v>6</v>
      </c>
      <c r="D101" s="142">
        <v>12</v>
      </c>
      <c r="E101" s="475" t="e">
        <f t="shared" si="12"/>
        <v>#REF!</v>
      </c>
      <c r="F101" s="427" t="e">
        <f>((#REF!*$E101*1*365)/1000000)</f>
        <v>#REF!</v>
      </c>
      <c r="G101" s="417" t="e">
        <f>((#REF!*$E101*1*365)/1000000)</f>
        <v>#REF!</v>
      </c>
      <c r="H101" s="428" t="e">
        <f>((#REF!*$E101*1*365)/1000000)</f>
        <v>#REF!</v>
      </c>
      <c r="I101" s="427" t="e">
        <f>F101-(F101*#REF!)</f>
        <v>#REF!</v>
      </c>
      <c r="J101" s="417" t="e">
        <f>G101-(G101*#REF!)</f>
        <v>#REF!</v>
      </c>
      <c r="K101" s="428" t="e">
        <f>H101-(H101*#REF!)</f>
        <v>#REF!</v>
      </c>
      <c r="L101" s="483" t="e">
        <f>I101*#REF!*#REF!</f>
        <v>#REF!</v>
      </c>
      <c r="M101" s="484" t="e">
        <f>J101*#REF!*#REF!</f>
        <v>#REF!</v>
      </c>
      <c r="N101" s="485" t="e">
        <f>K101*#REF!*#REF!</f>
        <v>#REF!</v>
      </c>
      <c r="O101" s="53"/>
      <c r="P101" s="53"/>
    </row>
    <row r="102" spans="2:16" hidden="1" x14ac:dyDescent="0.25">
      <c r="B102" s="395">
        <v>2033</v>
      </c>
      <c r="C102" s="387">
        <v>7</v>
      </c>
      <c r="D102" s="142">
        <v>13</v>
      </c>
      <c r="E102" s="475" t="e">
        <f t="shared" si="12"/>
        <v>#REF!</v>
      </c>
      <c r="F102" s="427" t="e">
        <f>((#REF!*$E102*1*365)/1000000)</f>
        <v>#REF!</v>
      </c>
      <c r="G102" s="417" t="e">
        <f>((#REF!*$E102*1*365)/1000000)</f>
        <v>#REF!</v>
      </c>
      <c r="H102" s="428" t="e">
        <f>((#REF!*$E102*1*365)/1000000)</f>
        <v>#REF!</v>
      </c>
      <c r="I102" s="427" t="e">
        <f>F102-(F102*#REF!)</f>
        <v>#REF!</v>
      </c>
      <c r="J102" s="417" t="e">
        <f>G102-(G102*#REF!)</f>
        <v>#REF!</v>
      </c>
      <c r="K102" s="428" t="e">
        <f>H102-(H102*#REF!)</f>
        <v>#REF!</v>
      </c>
      <c r="L102" s="483" t="e">
        <f>I102*#REF!*#REF!</f>
        <v>#REF!</v>
      </c>
      <c r="M102" s="484" t="e">
        <f>J102*#REF!*#REF!</f>
        <v>#REF!</v>
      </c>
      <c r="N102" s="485" t="e">
        <f>K102*#REF!*#REF!</f>
        <v>#REF!</v>
      </c>
      <c r="O102" s="53"/>
      <c r="P102" s="53"/>
    </row>
    <row r="103" spans="2:16" hidden="1" x14ac:dyDescent="0.25">
      <c r="B103" s="393">
        <v>2034</v>
      </c>
      <c r="C103" s="387">
        <v>8</v>
      </c>
      <c r="D103" s="142">
        <v>14</v>
      </c>
      <c r="E103" s="475" t="e">
        <f t="shared" si="12"/>
        <v>#REF!</v>
      </c>
      <c r="F103" s="427" t="e">
        <f>((#REF!*$E103*1*365)/1000000)</f>
        <v>#REF!</v>
      </c>
      <c r="G103" s="417" t="e">
        <f>((#REF!*$E103*1*365)/1000000)</f>
        <v>#REF!</v>
      </c>
      <c r="H103" s="428" t="e">
        <f>((#REF!*$E103*1*365)/1000000)</f>
        <v>#REF!</v>
      </c>
      <c r="I103" s="427" t="e">
        <f>F103-(F103*#REF!)</f>
        <v>#REF!</v>
      </c>
      <c r="J103" s="417" t="e">
        <f>G103-(G103*#REF!)</f>
        <v>#REF!</v>
      </c>
      <c r="K103" s="428" t="e">
        <f>H103-(H103*#REF!)</f>
        <v>#REF!</v>
      </c>
      <c r="L103" s="483" t="e">
        <f>I103*#REF!*#REF!</f>
        <v>#REF!</v>
      </c>
      <c r="M103" s="484" t="e">
        <f>J103*#REF!*#REF!</f>
        <v>#REF!</v>
      </c>
      <c r="N103" s="485" t="e">
        <f>K103*#REF!*#REF!</f>
        <v>#REF!</v>
      </c>
      <c r="O103" s="53"/>
      <c r="P103" s="53"/>
    </row>
    <row r="104" spans="2:16" hidden="1" x14ac:dyDescent="0.25">
      <c r="B104" s="395">
        <v>2035</v>
      </c>
      <c r="C104" s="387">
        <v>9</v>
      </c>
      <c r="D104" s="142">
        <v>15</v>
      </c>
      <c r="E104" s="475" t="e">
        <f t="shared" si="12"/>
        <v>#REF!</v>
      </c>
      <c r="F104" s="427" t="e">
        <f>((#REF!*$E104*1*365)/1000000)</f>
        <v>#REF!</v>
      </c>
      <c r="G104" s="417" t="e">
        <f>((#REF!*$E104*1*365)/1000000)</f>
        <v>#REF!</v>
      </c>
      <c r="H104" s="428" t="e">
        <f>((#REF!*$E104*1*365)/1000000)</f>
        <v>#REF!</v>
      </c>
      <c r="I104" s="427" t="e">
        <f>F104-(F104*#REF!)</f>
        <v>#REF!</v>
      </c>
      <c r="J104" s="417" t="e">
        <f>G104-(G104*#REF!)</f>
        <v>#REF!</v>
      </c>
      <c r="K104" s="428" t="e">
        <f>H104-(H104*#REF!)</f>
        <v>#REF!</v>
      </c>
      <c r="L104" s="483" t="e">
        <f>I104*#REF!*#REF!</f>
        <v>#REF!</v>
      </c>
      <c r="M104" s="484" t="e">
        <f>J104*#REF!*#REF!</f>
        <v>#REF!</v>
      </c>
      <c r="N104" s="485" t="e">
        <f>K104*#REF!*#REF!</f>
        <v>#REF!</v>
      </c>
      <c r="O104" s="53"/>
      <c r="P104" s="53"/>
    </row>
    <row r="105" spans="2:16" hidden="1" x14ac:dyDescent="0.25">
      <c r="B105" s="393">
        <v>2036</v>
      </c>
      <c r="C105" s="387">
        <v>10</v>
      </c>
      <c r="D105" s="142">
        <v>16</v>
      </c>
      <c r="E105" s="475" t="e">
        <f t="shared" si="12"/>
        <v>#REF!</v>
      </c>
      <c r="F105" s="427" t="e">
        <f>((#REF!*$E105*1*365)/1000000)</f>
        <v>#REF!</v>
      </c>
      <c r="G105" s="417" t="e">
        <f>((#REF!*$E105*1*365)/1000000)</f>
        <v>#REF!</v>
      </c>
      <c r="H105" s="428" t="e">
        <f>((#REF!*$E105*1*365)/1000000)</f>
        <v>#REF!</v>
      </c>
      <c r="I105" s="427" t="e">
        <f>F105-(F105*#REF!)</f>
        <v>#REF!</v>
      </c>
      <c r="J105" s="417" t="e">
        <f>G105-(G105*#REF!)</f>
        <v>#REF!</v>
      </c>
      <c r="K105" s="428" t="e">
        <f>H105-(H105*#REF!)</f>
        <v>#REF!</v>
      </c>
      <c r="L105" s="483" t="e">
        <f>I105*#REF!*#REF!</f>
        <v>#REF!</v>
      </c>
      <c r="M105" s="484" t="e">
        <f>J105*#REF!*#REF!</f>
        <v>#REF!</v>
      </c>
      <c r="N105" s="485" t="e">
        <f>K105*#REF!*#REF!</f>
        <v>#REF!</v>
      </c>
      <c r="O105" s="53"/>
      <c r="P105" s="53"/>
    </row>
    <row r="106" spans="2:16" hidden="1" x14ac:dyDescent="0.25">
      <c r="B106" s="395">
        <v>2037</v>
      </c>
      <c r="C106" s="387">
        <v>11</v>
      </c>
      <c r="D106" s="142">
        <v>17</v>
      </c>
      <c r="E106" s="475" t="e">
        <f t="shared" si="12"/>
        <v>#REF!</v>
      </c>
      <c r="F106" s="427" t="e">
        <f>((#REF!*$E106*1*365)/1000000)</f>
        <v>#REF!</v>
      </c>
      <c r="G106" s="417" t="e">
        <f>((#REF!*$E106*1*365)/1000000)</f>
        <v>#REF!</v>
      </c>
      <c r="H106" s="428" t="e">
        <f>((#REF!*$E106*1*365)/1000000)</f>
        <v>#REF!</v>
      </c>
      <c r="I106" s="427" t="e">
        <f>F106-(F106*#REF!)</f>
        <v>#REF!</v>
      </c>
      <c r="J106" s="417" t="e">
        <f>G106-(G106*#REF!)</f>
        <v>#REF!</v>
      </c>
      <c r="K106" s="428" t="e">
        <f>H106-(H106*#REF!)</f>
        <v>#REF!</v>
      </c>
      <c r="L106" s="483" t="e">
        <f>I106*#REF!*#REF!</f>
        <v>#REF!</v>
      </c>
      <c r="M106" s="484" t="e">
        <f>J106*#REF!*#REF!</f>
        <v>#REF!</v>
      </c>
      <c r="N106" s="485" t="e">
        <f>K106*#REF!*#REF!</f>
        <v>#REF!</v>
      </c>
      <c r="O106" s="53"/>
      <c r="P106" s="53"/>
    </row>
    <row r="107" spans="2:16" hidden="1" x14ac:dyDescent="0.25">
      <c r="B107" s="393">
        <v>2038</v>
      </c>
      <c r="C107" s="387">
        <v>12</v>
      </c>
      <c r="D107" s="142">
        <v>18</v>
      </c>
      <c r="E107" s="475" t="e">
        <f t="shared" si="12"/>
        <v>#REF!</v>
      </c>
      <c r="F107" s="427" t="e">
        <f>((#REF!*$E107*1*365)/1000000)</f>
        <v>#REF!</v>
      </c>
      <c r="G107" s="417" t="e">
        <f>((#REF!*$E107*1*365)/1000000)</f>
        <v>#REF!</v>
      </c>
      <c r="H107" s="428" t="e">
        <f>((#REF!*$E107*1*365)/1000000)</f>
        <v>#REF!</v>
      </c>
      <c r="I107" s="427" t="e">
        <f>F107-(F107*#REF!)</f>
        <v>#REF!</v>
      </c>
      <c r="J107" s="417" t="e">
        <f>G107-(G107*#REF!)</f>
        <v>#REF!</v>
      </c>
      <c r="K107" s="428" t="e">
        <f>H107-(H107*#REF!)</f>
        <v>#REF!</v>
      </c>
      <c r="L107" s="483" t="e">
        <f>I107*#REF!*#REF!</f>
        <v>#REF!</v>
      </c>
      <c r="M107" s="484" t="e">
        <f>J107*#REF!*#REF!</f>
        <v>#REF!</v>
      </c>
      <c r="N107" s="485" t="e">
        <f>K107*#REF!*#REF!</f>
        <v>#REF!</v>
      </c>
      <c r="O107" s="53"/>
      <c r="P107" s="53"/>
    </row>
    <row r="108" spans="2:16" hidden="1" x14ac:dyDescent="0.25">
      <c r="B108" s="395">
        <v>2039</v>
      </c>
      <c r="C108" s="387">
        <v>13</v>
      </c>
      <c r="D108" s="142">
        <v>19</v>
      </c>
      <c r="E108" s="475" t="e">
        <f t="shared" si="12"/>
        <v>#REF!</v>
      </c>
      <c r="F108" s="427" t="e">
        <f>((#REF!*$E108*1*365)/1000000)</f>
        <v>#REF!</v>
      </c>
      <c r="G108" s="417" t="e">
        <f>((#REF!*$E108*1*365)/1000000)</f>
        <v>#REF!</v>
      </c>
      <c r="H108" s="428" t="e">
        <f>((#REF!*$E108*1*365)/1000000)</f>
        <v>#REF!</v>
      </c>
      <c r="I108" s="427" t="e">
        <f>F108-(F108*#REF!)</f>
        <v>#REF!</v>
      </c>
      <c r="J108" s="417" t="e">
        <f>G108-(G108*#REF!)</f>
        <v>#REF!</v>
      </c>
      <c r="K108" s="428" t="e">
        <f>H108-(H108*#REF!)</f>
        <v>#REF!</v>
      </c>
      <c r="L108" s="483" t="e">
        <f>I108*#REF!*#REF!</f>
        <v>#REF!</v>
      </c>
      <c r="M108" s="484" t="e">
        <f>J108*#REF!*#REF!</f>
        <v>#REF!</v>
      </c>
      <c r="N108" s="485" t="e">
        <f>K108*#REF!*#REF!</f>
        <v>#REF!</v>
      </c>
      <c r="O108" s="53"/>
      <c r="P108" s="53"/>
    </row>
    <row r="109" spans="2:16" hidden="1" x14ac:dyDescent="0.25">
      <c r="B109" s="393">
        <v>2040</v>
      </c>
      <c r="C109" s="387">
        <v>14</v>
      </c>
      <c r="D109" s="142">
        <v>20</v>
      </c>
      <c r="E109" s="475" t="e">
        <f t="shared" si="12"/>
        <v>#REF!</v>
      </c>
      <c r="F109" s="427" t="e">
        <f>((#REF!*$E109*1*365)/1000000)</f>
        <v>#REF!</v>
      </c>
      <c r="G109" s="417" t="e">
        <f>((#REF!*$E109*1*365)/1000000)</f>
        <v>#REF!</v>
      </c>
      <c r="H109" s="428" t="e">
        <f>((#REF!*$E109*1*365)/1000000)</f>
        <v>#REF!</v>
      </c>
      <c r="I109" s="427" t="e">
        <f>F109-(F109*#REF!)</f>
        <v>#REF!</v>
      </c>
      <c r="J109" s="417" t="e">
        <f>G109-(G109*#REF!)</f>
        <v>#REF!</v>
      </c>
      <c r="K109" s="428" t="e">
        <f>H109-(H109*#REF!)</f>
        <v>#REF!</v>
      </c>
      <c r="L109" s="483" t="e">
        <f>I109*#REF!*#REF!</f>
        <v>#REF!</v>
      </c>
      <c r="M109" s="484" t="e">
        <f>J109*#REF!*#REF!</f>
        <v>#REF!</v>
      </c>
      <c r="N109" s="485" t="e">
        <f>K109*#REF!*#REF!</f>
        <v>#REF!</v>
      </c>
      <c r="O109" s="53"/>
      <c r="P109" s="53"/>
    </row>
    <row r="110" spans="2:16" hidden="1" x14ac:dyDescent="0.25">
      <c r="B110" s="395">
        <v>2041</v>
      </c>
      <c r="C110" s="387">
        <v>15</v>
      </c>
      <c r="D110" s="142">
        <v>21</v>
      </c>
      <c r="E110" s="475" t="e">
        <f t="shared" si="12"/>
        <v>#REF!</v>
      </c>
      <c r="F110" s="427" t="e">
        <f>((#REF!*$E110*1*365)/1000000)</f>
        <v>#REF!</v>
      </c>
      <c r="G110" s="417" t="e">
        <f>((#REF!*$E110*1*365)/1000000)</f>
        <v>#REF!</v>
      </c>
      <c r="H110" s="428" t="e">
        <f>((#REF!*$E110*1*365)/1000000)</f>
        <v>#REF!</v>
      </c>
      <c r="I110" s="427" t="e">
        <f>F110-(F110*#REF!)</f>
        <v>#REF!</v>
      </c>
      <c r="J110" s="417" t="e">
        <f>G110-(G110*#REF!)</f>
        <v>#REF!</v>
      </c>
      <c r="K110" s="428" t="e">
        <f>H110-(H110*#REF!)</f>
        <v>#REF!</v>
      </c>
      <c r="L110" s="483" t="e">
        <f>I110*#REF!*#REF!</f>
        <v>#REF!</v>
      </c>
      <c r="M110" s="484" t="e">
        <f>J110*#REF!*#REF!</f>
        <v>#REF!</v>
      </c>
      <c r="N110" s="485" t="e">
        <f>K110*#REF!*#REF!</f>
        <v>#REF!</v>
      </c>
      <c r="O110" s="53"/>
      <c r="P110" s="53"/>
    </row>
    <row r="111" spans="2:16" hidden="1" x14ac:dyDescent="0.25">
      <c r="B111" s="393">
        <v>2042</v>
      </c>
      <c r="C111" s="387">
        <v>16</v>
      </c>
      <c r="D111" s="142">
        <v>22</v>
      </c>
      <c r="E111" s="475" t="e">
        <f t="shared" si="12"/>
        <v>#REF!</v>
      </c>
      <c r="F111" s="427" t="e">
        <f>((#REF!*$E111*1*365)/1000000)</f>
        <v>#REF!</v>
      </c>
      <c r="G111" s="417" t="e">
        <f>((#REF!*$E111*1*365)/1000000)</f>
        <v>#REF!</v>
      </c>
      <c r="H111" s="428" t="e">
        <f>((#REF!*$E111*1*365)/1000000)</f>
        <v>#REF!</v>
      </c>
      <c r="I111" s="427" t="e">
        <f>F111-(F111*#REF!)</f>
        <v>#REF!</v>
      </c>
      <c r="J111" s="417" t="e">
        <f>G111-(G111*#REF!)</f>
        <v>#REF!</v>
      </c>
      <c r="K111" s="428" t="e">
        <f>H111-(H111*#REF!)</f>
        <v>#REF!</v>
      </c>
      <c r="L111" s="483" t="e">
        <f>I111*#REF!*#REF!</f>
        <v>#REF!</v>
      </c>
      <c r="M111" s="484" t="e">
        <f>J111*#REF!*#REF!</f>
        <v>#REF!</v>
      </c>
      <c r="N111" s="485" t="e">
        <f>K111*#REF!*#REF!</f>
        <v>#REF!</v>
      </c>
      <c r="O111" s="53"/>
      <c r="P111" s="53"/>
    </row>
    <row r="112" spans="2:16" hidden="1" x14ac:dyDescent="0.25">
      <c r="B112" s="395">
        <v>2043</v>
      </c>
      <c r="C112" s="387">
        <v>17</v>
      </c>
      <c r="D112" s="142">
        <v>23</v>
      </c>
      <c r="E112" s="475" t="e">
        <f t="shared" si="12"/>
        <v>#REF!</v>
      </c>
      <c r="F112" s="427" t="e">
        <f>((#REF!*$E112*1*365)/1000000)</f>
        <v>#REF!</v>
      </c>
      <c r="G112" s="417" t="e">
        <f>((#REF!*$E112*1*365)/1000000)</f>
        <v>#REF!</v>
      </c>
      <c r="H112" s="428" t="e">
        <f>((#REF!*$E112*1*365)/1000000)</f>
        <v>#REF!</v>
      </c>
      <c r="I112" s="427" t="e">
        <f>F112-(F112*#REF!)</f>
        <v>#REF!</v>
      </c>
      <c r="J112" s="417" t="e">
        <f>G112-(G112*#REF!)</f>
        <v>#REF!</v>
      </c>
      <c r="K112" s="428" t="e">
        <f>H112-(H112*#REF!)</f>
        <v>#REF!</v>
      </c>
      <c r="L112" s="483" t="e">
        <f>I112*#REF!*#REF!</f>
        <v>#REF!</v>
      </c>
      <c r="M112" s="484" t="e">
        <f>J112*#REF!*#REF!</f>
        <v>#REF!</v>
      </c>
      <c r="N112" s="485" t="e">
        <f>K112*#REF!*#REF!</f>
        <v>#REF!</v>
      </c>
      <c r="O112" s="53"/>
      <c r="P112" s="53"/>
    </row>
    <row r="113" spans="2:16" hidden="1" x14ac:dyDescent="0.25">
      <c r="B113" s="393">
        <v>2044</v>
      </c>
      <c r="C113" s="387">
        <v>18</v>
      </c>
      <c r="D113" s="142">
        <v>24</v>
      </c>
      <c r="E113" s="475" t="e">
        <f t="shared" si="12"/>
        <v>#REF!</v>
      </c>
      <c r="F113" s="427" t="e">
        <f>((#REF!*$E113*1*365)/1000000)</f>
        <v>#REF!</v>
      </c>
      <c r="G113" s="417" t="e">
        <f>((#REF!*$E113*1*365)/1000000)</f>
        <v>#REF!</v>
      </c>
      <c r="H113" s="428" t="e">
        <f>((#REF!*$E113*1*365)/1000000)</f>
        <v>#REF!</v>
      </c>
      <c r="I113" s="427" t="e">
        <f>F113-(F113*#REF!)</f>
        <v>#REF!</v>
      </c>
      <c r="J113" s="417" t="e">
        <f>G113-(G113*#REF!)</f>
        <v>#REF!</v>
      </c>
      <c r="K113" s="428" t="e">
        <f>H113-(H113*#REF!)</f>
        <v>#REF!</v>
      </c>
      <c r="L113" s="483" t="e">
        <f>I113*#REF!*#REF!</f>
        <v>#REF!</v>
      </c>
      <c r="M113" s="484" t="e">
        <f>J113*#REF!*#REF!</f>
        <v>#REF!</v>
      </c>
      <c r="N113" s="485" t="e">
        <f>K113*#REF!*#REF!</f>
        <v>#REF!</v>
      </c>
      <c r="O113" s="53"/>
      <c r="P113" s="53"/>
    </row>
    <row r="114" spans="2:16" hidden="1" x14ac:dyDescent="0.25">
      <c r="B114" s="395">
        <v>2045</v>
      </c>
      <c r="C114" s="387">
        <v>19</v>
      </c>
      <c r="D114" s="142">
        <v>25</v>
      </c>
      <c r="E114" s="475" t="e">
        <f t="shared" si="12"/>
        <v>#REF!</v>
      </c>
      <c r="F114" s="427" t="e">
        <f>((#REF!*$E114*1*365)/1000000)</f>
        <v>#REF!</v>
      </c>
      <c r="G114" s="417" t="e">
        <f>((#REF!*$E114*1*365)/1000000)</f>
        <v>#REF!</v>
      </c>
      <c r="H114" s="428" t="e">
        <f>((#REF!*$E114*1*365)/1000000)</f>
        <v>#REF!</v>
      </c>
      <c r="I114" s="427" t="e">
        <f>F114-(F114*#REF!)</f>
        <v>#REF!</v>
      </c>
      <c r="J114" s="417" t="e">
        <f>G114-(G114*#REF!)</f>
        <v>#REF!</v>
      </c>
      <c r="K114" s="428" t="e">
        <f>H114-(H114*#REF!)</f>
        <v>#REF!</v>
      </c>
      <c r="L114" s="483" t="e">
        <f>I114*#REF!*#REF!</f>
        <v>#REF!</v>
      </c>
      <c r="M114" s="484" t="e">
        <f>J114*#REF!*#REF!</f>
        <v>#REF!</v>
      </c>
      <c r="N114" s="485" t="e">
        <f>K114*#REF!*#REF!</f>
        <v>#REF!</v>
      </c>
      <c r="O114" s="53"/>
      <c r="P114" s="53"/>
    </row>
    <row r="115" spans="2:16" hidden="1" x14ac:dyDescent="0.25">
      <c r="B115" s="393">
        <v>2046</v>
      </c>
      <c r="C115" s="387">
        <v>20</v>
      </c>
      <c r="D115" s="142">
        <v>26</v>
      </c>
      <c r="E115" s="475" t="e">
        <f t="shared" si="12"/>
        <v>#REF!</v>
      </c>
      <c r="F115" s="427" t="e">
        <f>((#REF!*$E115*1*365)/1000000)</f>
        <v>#REF!</v>
      </c>
      <c r="G115" s="417" t="e">
        <f>((#REF!*$E115*1*365)/1000000)</f>
        <v>#REF!</v>
      </c>
      <c r="H115" s="428" t="e">
        <f>((#REF!*$E115*1*365)/1000000)</f>
        <v>#REF!</v>
      </c>
      <c r="I115" s="427" t="e">
        <f>F115-(F115*#REF!)</f>
        <v>#REF!</v>
      </c>
      <c r="J115" s="417" t="e">
        <f>G115-(G115*#REF!)</f>
        <v>#REF!</v>
      </c>
      <c r="K115" s="428" t="e">
        <f>H115-(H115*#REF!)</f>
        <v>#REF!</v>
      </c>
      <c r="L115" s="483" t="e">
        <f>I115*#REF!*#REF!</f>
        <v>#REF!</v>
      </c>
      <c r="M115" s="484" t="e">
        <f>J115*#REF!*#REF!</f>
        <v>#REF!</v>
      </c>
      <c r="N115" s="485" t="e">
        <f>K115*#REF!*#REF!</f>
        <v>#REF!</v>
      </c>
      <c r="O115" s="53"/>
      <c r="P115" s="53"/>
    </row>
    <row r="116" spans="2:16" hidden="1" x14ac:dyDescent="0.25">
      <c r="B116" s="391">
        <v>2047</v>
      </c>
      <c r="C116" s="385">
        <v>21</v>
      </c>
      <c r="D116" s="140">
        <v>27</v>
      </c>
      <c r="E116" s="422" t="e">
        <f t="shared" si="12"/>
        <v>#REF!</v>
      </c>
      <c r="F116" s="425" t="e">
        <f>((#REF!*$E116*1*365)/1000000)</f>
        <v>#REF!</v>
      </c>
      <c r="G116" s="416" t="e">
        <f>((#REF!*$E116*1*365)/1000000)</f>
        <v>#REF!</v>
      </c>
      <c r="H116" s="426" t="e">
        <f>((#REF!*$E116*1*365)/1000000)</f>
        <v>#REF!</v>
      </c>
      <c r="I116" s="425" t="e">
        <f>F116-(F116*#REF!)</f>
        <v>#REF!</v>
      </c>
      <c r="J116" s="416" t="e">
        <f>G116-(G116*#REF!)</f>
        <v>#REF!</v>
      </c>
      <c r="K116" s="426" t="e">
        <f>H116-(H116*#REF!)</f>
        <v>#REF!</v>
      </c>
      <c r="L116" s="150" t="e">
        <f>I116*#REF!*#REF!</f>
        <v>#REF!</v>
      </c>
      <c r="M116" s="145" t="e">
        <f>J116*#REF!*#REF!</f>
        <v>#REF!</v>
      </c>
      <c r="N116" s="162" t="e">
        <f>K116*#REF!*#REF!</f>
        <v>#REF!</v>
      </c>
      <c r="O116" s="53"/>
      <c r="P116" s="53"/>
    </row>
    <row r="117" spans="2:16" hidden="1" x14ac:dyDescent="0.25">
      <c r="B117" s="393">
        <v>2048</v>
      </c>
      <c r="C117" s="387">
        <v>22</v>
      </c>
      <c r="D117" s="142">
        <v>28</v>
      </c>
      <c r="E117" s="475" t="e">
        <f t="shared" si="12"/>
        <v>#REF!</v>
      </c>
      <c r="F117" s="427" t="e">
        <f>((#REF!*$E117*1*365)/1000000)</f>
        <v>#REF!</v>
      </c>
      <c r="G117" s="417" t="e">
        <f>((#REF!*$E117*1*365)/1000000)</f>
        <v>#REF!</v>
      </c>
      <c r="H117" s="428" t="e">
        <f>((#REF!*$E117*1*365)/1000000)</f>
        <v>#REF!</v>
      </c>
      <c r="I117" s="427" t="e">
        <f>F117-(F117*#REF!)</f>
        <v>#REF!</v>
      </c>
      <c r="J117" s="417" t="e">
        <f>G117-(G117*#REF!)</f>
        <v>#REF!</v>
      </c>
      <c r="K117" s="428" t="e">
        <f>H117-(H117*#REF!)</f>
        <v>#REF!</v>
      </c>
      <c r="L117" s="483" t="e">
        <f>I117*#REF!*#REF!</f>
        <v>#REF!</v>
      </c>
      <c r="M117" s="484" t="e">
        <f>J117*#REF!*#REF!</f>
        <v>#REF!</v>
      </c>
      <c r="N117" s="485" t="e">
        <f>K117*#REF!*#REF!</f>
        <v>#REF!</v>
      </c>
      <c r="O117" s="53"/>
      <c r="P117" s="53"/>
    </row>
    <row r="118" spans="2:16" hidden="1" x14ac:dyDescent="0.25">
      <c r="B118" s="395">
        <v>2049</v>
      </c>
      <c r="C118" s="387">
        <v>23</v>
      </c>
      <c r="D118" s="142">
        <v>29</v>
      </c>
      <c r="E118" s="475" t="e">
        <f t="shared" si="12"/>
        <v>#REF!</v>
      </c>
      <c r="F118" s="427" t="e">
        <f>((#REF!*$E118*1*365)/1000000)</f>
        <v>#REF!</v>
      </c>
      <c r="G118" s="417" t="e">
        <f>((#REF!*$E118*1*365)/1000000)</f>
        <v>#REF!</v>
      </c>
      <c r="H118" s="428" t="e">
        <f>((#REF!*$E118*1*365)/1000000)</f>
        <v>#REF!</v>
      </c>
      <c r="I118" s="427" t="e">
        <f>F118-(F118*#REF!)</f>
        <v>#REF!</v>
      </c>
      <c r="J118" s="417" t="e">
        <f>G118-(G118*#REF!)</f>
        <v>#REF!</v>
      </c>
      <c r="K118" s="428" t="e">
        <f>H118-(H118*#REF!)</f>
        <v>#REF!</v>
      </c>
      <c r="L118" s="483" t="e">
        <f>I118*#REF!*#REF!</f>
        <v>#REF!</v>
      </c>
      <c r="M118" s="484" t="e">
        <f>J118*#REF!*#REF!</f>
        <v>#REF!</v>
      </c>
      <c r="N118" s="485" t="e">
        <f>K118*#REF!*#REF!</f>
        <v>#REF!</v>
      </c>
      <c r="O118" s="53"/>
      <c r="P118" s="53"/>
    </row>
    <row r="119" spans="2:16" hidden="1" x14ac:dyDescent="0.25">
      <c r="B119" s="393">
        <v>2050</v>
      </c>
      <c r="C119" s="387">
        <v>24</v>
      </c>
      <c r="D119" s="142">
        <v>30</v>
      </c>
      <c r="E119" s="475" t="e">
        <f t="shared" si="12"/>
        <v>#REF!</v>
      </c>
      <c r="F119" s="427" t="e">
        <f>((#REF!*$E119*1*365)/1000000)</f>
        <v>#REF!</v>
      </c>
      <c r="G119" s="417" t="e">
        <f>((#REF!*$E119*1*365)/1000000)</f>
        <v>#REF!</v>
      </c>
      <c r="H119" s="428" t="e">
        <f>((#REF!*$E119*1*365)/1000000)</f>
        <v>#REF!</v>
      </c>
      <c r="I119" s="427" t="e">
        <f>F119-(F119*#REF!)</f>
        <v>#REF!</v>
      </c>
      <c r="J119" s="417" t="e">
        <f>G119-(G119*#REF!)</f>
        <v>#REF!</v>
      </c>
      <c r="K119" s="428" t="e">
        <f>H119-(H119*#REF!)</f>
        <v>#REF!</v>
      </c>
      <c r="L119" s="483" t="e">
        <f>I119*#REF!*#REF!</f>
        <v>#REF!</v>
      </c>
      <c r="M119" s="484" t="e">
        <f>J119*#REF!*#REF!</f>
        <v>#REF!</v>
      </c>
      <c r="N119" s="485" t="e">
        <f>K119*#REF!*#REF!</f>
        <v>#REF!</v>
      </c>
      <c r="O119" s="53"/>
      <c r="P119" s="53"/>
    </row>
    <row r="120" spans="2:16" hidden="1" x14ac:dyDescent="0.25">
      <c r="B120" s="395">
        <v>2051</v>
      </c>
      <c r="C120" s="387">
        <v>25</v>
      </c>
      <c r="D120" s="142">
        <v>31</v>
      </c>
      <c r="E120" s="475" t="e">
        <f t="shared" si="12"/>
        <v>#REF!</v>
      </c>
      <c r="F120" s="427" t="e">
        <f>((#REF!*$E120*1*365)/1000000)</f>
        <v>#REF!</v>
      </c>
      <c r="G120" s="417" t="e">
        <f>((#REF!*$E120*1*365)/1000000)</f>
        <v>#REF!</v>
      </c>
      <c r="H120" s="428" t="e">
        <f>((#REF!*$E120*1*365)/1000000)</f>
        <v>#REF!</v>
      </c>
      <c r="I120" s="427" t="e">
        <f>F120-(F120*#REF!)</f>
        <v>#REF!</v>
      </c>
      <c r="J120" s="417" t="e">
        <f>G120-(G120*#REF!)</f>
        <v>#REF!</v>
      </c>
      <c r="K120" s="428" t="e">
        <f>H120-(H120*#REF!)</f>
        <v>#REF!</v>
      </c>
      <c r="L120" s="483" t="e">
        <f>I120*#REF!*#REF!</f>
        <v>#REF!</v>
      </c>
      <c r="M120" s="484" t="e">
        <f>J120*#REF!*#REF!</f>
        <v>#REF!</v>
      </c>
      <c r="N120" s="485" t="e">
        <f>K120*#REF!*#REF!</f>
        <v>#REF!</v>
      </c>
      <c r="O120" s="53"/>
      <c r="P120" s="53"/>
    </row>
    <row r="121" spans="2:16" hidden="1" x14ac:dyDescent="0.25">
      <c r="B121" s="393">
        <v>2052</v>
      </c>
      <c r="C121" s="387">
        <v>26</v>
      </c>
      <c r="D121" s="142">
        <v>32</v>
      </c>
      <c r="E121" s="475" t="e">
        <f t="shared" si="12"/>
        <v>#REF!</v>
      </c>
      <c r="F121" s="427" t="e">
        <f>((#REF!*$E121*1*365)/1000000)</f>
        <v>#REF!</v>
      </c>
      <c r="G121" s="417" t="e">
        <f>((#REF!*$E121*1*365)/1000000)</f>
        <v>#REF!</v>
      </c>
      <c r="H121" s="428" t="e">
        <f>((#REF!*$E121*1*365)/1000000)</f>
        <v>#REF!</v>
      </c>
      <c r="I121" s="427" t="e">
        <f>F121-(F121*#REF!)</f>
        <v>#REF!</v>
      </c>
      <c r="J121" s="417" t="e">
        <f>G121-(G121*#REF!)</f>
        <v>#REF!</v>
      </c>
      <c r="K121" s="428" t="e">
        <f>H121-(H121*#REF!)</f>
        <v>#REF!</v>
      </c>
      <c r="L121" s="483" t="e">
        <f>I121*#REF!*#REF!</f>
        <v>#REF!</v>
      </c>
      <c r="M121" s="484" t="e">
        <f>J121*#REF!*#REF!</f>
        <v>#REF!</v>
      </c>
      <c r="N121" s="485" t="e">
        <f>K121*#REF!*#REF!</f>
        <v>#REF!</v>
      </c>
      <c r="O121" s="53"/>
      <c r="P121" s="53"/>
    </row>
    <row r="122" spans="2:16" hidden="1" x14ac:dyDescent="0.25">
      <c r="B122" s="395">
        <v>2053</v>
      </c>
      <c r="C122" s="387">
        <v>27</v>
      </c>
      <c r="D122" s="142">
        <v>33</v>
      </c>
      <c r="E122" s="475" t="e">
        <f t="shared" si="12"/>
        <v>#REF!</v>
      </c>
      <c r="F122" s="427" t="e">
        <f>((#REF!*$E122*1*365)/1000000)</f>
        <v>#REF!</v>
      </c>
      <c r="G122" s="417" t="e">
        <f>((#REF!*$E122*1*365)/1000000)</f>
        <v>#REF!</v>
      </c>
      <c r="H122" s="428" t="e">
        <f>((#REF!*$E122*1*365)/1000000)</f>
        <v>#REF!</v>
      </c>
      <c r="I122" s="427" t="e">
        <f>F122-(F122*#REF!)</f>
        <v>#REF!</v>
      </c>
      <c r="J122" s="417" t="e">
        <f>G122-(G122*#REF!)</f>
        <v>#REF!</v>
      </c>
      <c r="K122" s="428" t="e">
        <f>H122-(H122*#REF!)</f>
        <v>#REF!</v>
      </c>
      <c r="L122" s="483" t="e">
        <f>I122*#REF!*#REF!</f>
        <v>#REF!</v>
      </c>
      <c r="M122" s="484" t="e">
        <f>J122*#REF!*#REF!</f>
        <v>#REF!</v>
      </c>
      <c r="N122" s="485" t="e">
        <f>K122*#REF!*#REF!</f>
        <v>#REF!</v>
      </c>
      <c r="O122" s="53"/>
      <c r="P122" s="53"/>
    </row>
    <row r="123" spans="2:16" hidden="1" x14ac:dyDescent="0.25">
      <c r="B123" s="393">
        <v>2054</v>
      </c>
      <c r="C123" s="387">
        <v>28</v>
      </c>
      <c r="D123" s="142">
        <v>34</v>
      </c>
      <c r="E123" s="475" t="e">
        <f t="shared" si="12"/>
        <v>#REF!</v>
      </c>
      <c r="F123" s="427" t="e">
        <f>((#REF!*$E123*1*365)/1000000)</f>
        <v>#REF!</v>
      </c>
      <c r="G123" s="417" t="e">
        <f>((#REF!*$E123*1*365)/1000000)</f>
        <v>#REF!</v>
      </c>
      <c r="H123" s="428" t="e">
        <f>((#REF!*$E123*1*365)/1000000)</f>
        <v>#REF!</v>
      </c>
      <c r="I123" s="427" t="e">
        <f>F123-(F123*#REF!)</f>
        <v>#REF!</v>
      </c>
      <c r="J123" s="417" t="e">
        <f>G123-(G123*#REF!)</f>
        <v>#REF!</v>
      </c>
      <c r="K123" s="428" t="e">
        <f>H123-(H123*#REF!)</f>
        <v>#REF!</v>
      </c>
      <c r="L123" s="483" t="e">
        <f>I123*#REF!*#REF!</f>
        <v>#REF!</v>
      </c>
      <c r="M123" s="484" t="e">
        <f>J123*#REF!*#REF!</f>
        <v>#REF!</v>
      </c>
      <c r="N123" s="485" t="e">
        <f>K123*#REF!*#REF!</f>
        <v>#REF!</v>
      </c>
      <c r="O123" s="53"/>
      <c r="P123" s="53"/>
    </row>
    <row r="124" spans="2:16" hidden="1" x14ac:dyDescent="0.25">
      <c r="B124" s="395">
        <v>2055</v>
      </c>
      <c r="C124" s="387">
        <v>29</v>
      </c>
      <c r="D124" s="142">
        <v>35</v>
      </c>
      <c r="E124" s="475" t="e">
        <f t="shared" si="12"/>
        <v>#REF!</v>
      </c>
      <c r="F124" s="427" t="e">
        <f>((#REF!*$E124*1*365)/1000000)</f>
        <v>#REF!</v>
      </c>
      <c r="G124" s="417" t="e">
        <f>((#REF!*$E124*1*365)/1000000)</f>
        <v>#REF!</v>
      </c>
      <c r="H124" s="428" t="e">
        <f>((#REF!*$E124*1*365)/1000000)</f>
        <v>#REF!</v>
      </c>
      <c r="I124" s="427" t="e">
        <f>F124-(F124*#REF!)</f>
        <v>#REF!</v>
      </c>
      <c r="J124" s="417" t="e">
        <f>G124-(G124*#REF!)</f>
        <v>#REF!</v>
      </c>
      <c r="K124" s="428" t="e">
        <f>H124-(H124*#REF!)</f>
        <v>#REF!</v>
      </c>
      <c r="L124" s="483" t="e">
        <f>I124*#REF!*#REF!</f>
        <v>#REF!</v>
      </c>
      <c r="M124" s="484" t="e">
        <f>J124*#REF!*#REF!</f>
        <v>#REF!</v>
      </c>
      <c r="N124" s="485" t="e">
        <f>K124*#REF!*#REF!</f>
        <v>#REF!</v>
      </c>
      <c r="O124" s="53"/>
      <c r="P124" s="53"/>
    </row>
    <row r="125" spans="2:16" hidden="1" x14ac:dyDescent="0.25">
      <c r="B125" s="393">
        <v>2056</v>
      </c>
      <c r="C125" s="387">
        <v>30</v>
      </c>
      <c r="D125" s="142">
        <v>36</v>
      </c>
      <c r="E125" s="475" t="e">
        <f t="shared" si="12"/>
        <v>#REF!</v>
      </c>
      <c r="F125" s="427" t="e">
        <f>((#REF!*$E125*1*365)/1000000)</f>
        <v>#REF!</v>
      </c>
      <c r="G125" s="417" t="e">
        <f>((#REF!*$E125*1*365)/1000000)</f>
        <v>#REF!</v>
      </c>
      <c r="H125" s="428" t="e">
        <f>((#REF!*$E125*1*365)/1000000)</f>
        <v>#REF!</v>
      </c>
      <c r="I125" s="427" t="e">
        <f>F125-(F125*#REF!)</f>
        <v>#REF!</v>
      </c>
      <c r="J125" s="417" t="e">
        <f>G125-(G125*#REF!)</f>
        <v>#REF!</v>
      </c>
      <c r="K125" s="428" t="e">
        <f>H125-(H125*#REF!)</f>
        <v>#REF!</v>
      </c>
      <c r="L125" s="483" t="e">
        <f>I125*#REF!*#REF!</f>
        <v>#REF!</v>
      </c>
      <c r="M125" s="484" t="e">
        <f>J125*#REF!*#REF!</f>
        <v>#REF!</v>
      </c>
      <c r="N125" s="485" t="e">
        <f>K125*#REF!*#REF!</f>
        <v>#REF!</v>
      </c>
      <c r="O125" s="53"/>
      <c r="P125" s="53"/>
    </row>
    <row r="126" spans="2:16" ht="15.75" hidden="1" thickBot="1" x14ac:dyDescent="0.3">
      <c r="B126" s="397">
        <v>2057</v>
      </c>
      <c r="C126" s="398">
        <v>31</v>
      </c>
      <c r="D126" s="143">
        <v>37</v>
      </c>
      <c r="E126" s="477" t="e">
        <f t="shared" si="12"/>
        <v>#REF!</v>
      </c>
      <c r="F126" s="429" t="e">
        <f>((#REF!*$E126*1*365)/1000000)</f>
        <v>#REF!</v>
      </c>
      <c r="G126" s="419" t="e">
        <f>((#REF!*$E126*1*365)/1000000)</f>
        <v>#REF!</v>
      </c>
      <c r="H126" s="430" t="e">
        <f>((#REF!*$E126*1*365)/1000000)</f>
        <v>#REF!</v>
      </c>
      <c r="I126" s="429" t="e">
        <f>F126-(F126*#REF!)</f>
        <v>#REF!</v>
      </c>
      <c r="J126" s="419" t="e">
        <f>G126-(G126*#REF!)</f>
        <v>#REF!</v>
      </c>
      <c r="K126" s="430" t="e">
        <f>H126-(H126*#REF!)</f>
        <v>#REF!</v>
      </c>
      <c r="L126" s="490" t="e">
        <f>I126*#REF!*#REF!</f>
        <v>#REF!</v>
      </c>
      <c r="M126" s="491" t="e">
        <f>J126*#REF!*#REF!</f>
        <v>#REF!</v>
      </c>
      <c r="N126" s="492" t="e">
        <f>K126*#REF!*#REF!</f>
        <v>#REF!</v>
      </c>
      <c r="O126" s="53"/>
      <c r="P126" s="53"/>
    </row>
    <row r="127" spans="2:16" ht="15.75" hidden="1" thickBot="1" x14ac:dyDescent="0.3">
      <c r="F127" s="306" t="e">
        <f>SUM(F90:F126)</f>
        <v>#REF!</v>
      </c>
      <c r="G127" s="306" t="e">
        <f t="shared" ref="G127:K127" si="13">SUM(G90:G126)</f>
        <v>#REF!</v>
      </c>
      <c r="H127" s="306" t="e">
        <f t="shared" si="13"/>
        <v>#REF!</v>
      </c>
      <c r="I127" s="306" t="e">
        <f t="shared" si="13"/>
        <v>#REF!</v>
      </c>
      <c r="J127" s="306" t="e">
        <f t="shared" si="13"/>
        <v>#REF!</v>
      </c>
      <c r="K127" s="306" t="e">
        <f t="shared" si="13"/>
        <v>#REF!</v>
      </c>
      <c r="L127" s="5" t="e">
        <f>SUM(L90:L126)</f>
        <v>#REF!</v>
      </c>
      <c r="M127" s="8" t="e">
        <f>SUM(M90:M126)</f>
        <v>#REF!</v>
      </c>
      <c r="N127" s="4" t="e">
        <f>SUM(N90:N126)</f>
        <v>#REF!</v>
      </c>
      <c r="O127" s="493"/>
      <c r="P127" s="493"/>
    </row>
    <row r="128" spans="2:16" hidden="1" x14ac:dyDescent="0.25">
      <c r="F128" s="306"/>
      <c r="G128" s="306"/>
      <c r="H128" s="306"/>
      <c r="I128" s="306" t="e">
        <f>F127-I127</f>
        <v>#REF!</v>
      </c>
      <c r="J128" s="306" t="e">
        <f>G127-J127</f>
        <v>#REF!</v>
      </c>
      <c r="K128" s="306" t="e">
        <f t="shared" ref="K128" si="14">H127-K127</f>
        <v>#REF!</v>
      </c>
      <c r="L128" s="493"/>
      <c r="M128" s="493"/>
      <c r="N128" s="493"/>
      <c r="O128" s="493"/>
      <c r="P128" s="493"/>
    </row>
    <row r="129" spans="2:10" ht="15.75" thickBot="1" x14ac:dyDescent="0.3">
      <c r="B129" s="18" t="s">
        <v>141</v>
      </c>
    </row>
    <row r="130" spans="2:10" x14ac:dyDescent="0.25">
      <c r="B130" s="574" t="s">
        <v>1</v>
      </c>
      <c r="C130" s="576" t="s">
        <v>2</v>
      </c>
      <c r="D130" s="578" t="s">
        <v>22</v>
      </c>
      <c r="E130" s="580" t="s">
        <v>192</v>
      </c>
      <c r="F130" s="573"/>
      <c r="G130" s="573"/>
      <c r="H130" s="581"/>
      <c r="I130" s="582" t="s">
        <v>137</v>
      </c>
    </row>
    <row r="131" spans="2:10" ht="15.75" thickBot="1" x14ac:dyDescent="0.3">
      <c r="B131" s="575"/>
      <c r="C131" s="577"/>
      <c r="D131" s="579"/>
      <c r="E131" s="380" t="s">
        <v>35</v>
      </c>
      <c r="F131" s="381" t="s">
        <v>36</v>
      </c>
      <c r="G131" s="381" t="s">
        <v>37</v>
      </c>
      <c r="H131" s="104" t="s">
        <v>18</v>
      </c>
      <c r="I131" s="583"/>
    </row>
    <row r="132" spans="2:10" x14ac:dyDescent="0.25">
      <c r="B132" s="389">
        <v>2021</v>
      </c>
      <c r="C132" s="384">
        <v>0</v>
      </c>
      <c r="D132" s="139">
        <v>1</v>
      </c>
      <c r="E132" s="438">
        <f t="shared" ref="E132:G164" si="15">L6</f>
        <v>0</v>
      </c>
      <c r="F132" s="437">
        <f t="shared" si="15"/>
        <v>0</v>
      </c>
      <c r="G132" s="437">
        <f t="shared" si="15"/>
        <v>0</v>
      </c>
      <c r="H132" s="494">
        <f t="shared" ref="H132:H168" si="16">SUM(E132:G132)</f>
        <v>0</v>
      </c>
      <c r="I132" s="495">
        <f>H132/(1.07^($B132-$B$132))</f>
        <v>0</v>
      </c>
    </row>
    <row r="133" spans="2:10" x14ac:dyDescent="0.25">
      <c r="B133" s="389">
        <v>2022</v>
      </c>
      <c r="C133" s="384">
        <v>0</v>
      </c>
      <c r="D133" s="139">
        <v>2</v>
      </c>
      <c r="E133" s="438">
        <f t="shared" si="15"/>
        <v>0</v>
      </c>
      <c r="F133" s="437">
        <f t="shared" si="15"/>
        <v>0</v>
      </c>
      <c r="G133" s="437">
        <f t="shared" si="15"/>
        <v>0</v>
      </c>
      <c r="H133" s="494">
        <f t="shared" si="16"/>
        <v>0</v>
      </c>
      <c r="I133" s="495">
        <f t="shared" ref="I133:I168" si="17">H133/(1.07^($B133-$B$132))</f>
        <v>0</v>
      </c>
    </row>
    <row r="134" spans="2:10" x14ac:dyDescent="0.25">
      <c r="B134" s="389">
        <v>2023</v>
      </c>
      <c r="C134" s="384">
        <v>0</v>
      </c>
      <c r="D134" s="139">
        <v>3</v>
      </c>
      <c r="E134" s="438">
        <f t="shared" si="15"/>
        <v>0</v>
      </c>
      <c r="F134" s="437">
        <f t="shared" si="15"/>
        <v>0</v>
      </c>
      <c r="G134" s="437">
        <f t="shared" si="15"/>
        <v>0</v>
      </c>
      <c r="H134" s="494">
        <f t="shared" si="16"/>
        <v>0</v>
      </c>
      <c r="I134" s="495">
        <f t="shared" si="17"/>
        <v>0</v>
      </c>
    </row>
    <row r="135" spans="2:10" x14ac:dyDescent="0.25">
      <c r="B135" s="391">
        <v>2024</v>
      </c>
      <c r="C135" s="385">
        <v>1</v>
      </c>
      <c r="D135" s="140">
        <v>4</v>
      </c>
      <c r="E135" s="340">
        <f t="shared" si="15"/>
        <v>67620.763862036707</v>
      </c>
      <c r="F135" s="341">
        <f t="shared" si="15"/>
        <v>776425.35252435633</v>
      </c>
      <c r="G135" s="341">
        <f t="shared" si="15"/>
        <v>9607151.8703835122</v>
      </c>
      <c r="H135" s="496">
        <f t="shared" si="16"/>
        <v>10451197.986769905</v>
      </c>
      <c r="I135" s="497">
        <f t="shared" si="17"/>
        <v>8531290.7275662199</v>
      </c>
      <c r="J135" s="519" t="s">
        <v>51</v>
      </c>
    </row>
    <row r="136" spans="2:10" x14ac:dyDescent="0.25">
      <c r="B136" s="524">
        <v>2025</v>
      </c>
      <c r="C136" s="525">
        <v>2</v>
      </c>
      <c r="D136" s="526">
        <v>5</v>
      </c>
      <c r="E136" s="527">
        <f t="shared" si="15"/>
        <v>67958.867681346906</v>
      </c>
      <c r="F136" s="528">
        <f t="shared" si="15"/>
        <v>780307.4792869779</v>
      </c>
      <c r="G136" s="528">
        <f t="shared" si="15"/>
        <v>9655187.629735427</v>
      </c>
      <c r="H136" s="498">
        <f t="shared" si="16"/>
        <v>10503453.976703752</v>
      </c>
      <c r="I136" s="499">
        <f t="shared" si="17"/>
        <v>8013034.7487888308</v>
      </c>
      <c r="J136" s="379"/>
    </row>
    <row r="137" spans="2:10" x14ac:dyDescent="0.25">
      <c r="B137" s="529">
        <v>2026</v>
      </c>
      <c r="C137" s="530">
        <v>3</v>
      </c>
      <c r="D137" s="531">
        <v>6</v>
      </c>
      <c r="E137" s="527">
        <f t="shared" si="15"/>
        <v>68298.66201975361</v>
      </c>
      <c r="F137" s="528">
        <f t="shared" si="15"/>
        <v>784209.01668341307</v>
      </c>
      <c r="G137" s="528">
        <f t="shared" si="15"/>
        <v>9703463.5678841043</v>
      </c>
      <c r="H137" s="498">
        <f t="shared" si="16"/>
        <v>10555971.246587271</v>
      </c>
      <c r="I137" s="499">
        <f t="shared" si="17"/>
        <v>7526261.6098437142</v>
      </c>
      <c r="J137" s="379"/>
    </row>
    <row r="138" spans="2:10" x14ac:dyDescent="0.25">
      <c r="B138" s="524">
        <v>2027</v>
      </c>
      <c r="C138" s="530">
        <v>4</v>
      </c>
      <c r="D138" s="531">
        <v>7</v>
      </c>
      <c r="E138" s="527">
        <f t="shared" si="15"/>
        <v>68640.155329852365</v>
      </c>
      <c r="F138" s="528">
        <f t="shared" si="15"/>
        <v>788130.06176682969</v>
      </c>
      <c r="G138" s="528">
        <f t="shared" si="15"/>
        <v>9751980.8857235182</v>
      </c>
      <c r="H138" s="498">
        <f t="shared" si="16"/>
        <v>10608751.102820201</v>
      </c>
      <c r="I138" s="499">
        <f t="shared" si="17"/>
        <v>7069058.8017690927</v>
      </c>
      <c r="J138" s="379"/>
    </row>
    <row r="139" spans="2:10" x14ac:dyDescent="0.25">
      <c r="B139" s="529">
        <v>2028</v>
      </c>
      <c r="C139" s="530">
        <v>5</v>
      </c>
      <c r="D139" s="531">
        <v>8</v>
      </c>
      <c r="E139" s="527">
        <f t="shared" si="15"/>
        <v>68983.356106501626</v>
      </c>
      <c r="F139" s="528">
        <f t="shared" si="15"/>
        <v>792070.71207566373</v>
      </c>
      <c r="G139" s="528">
        <f t="shared" si="15"/>
        <v>9800740.7901521362</v>
      </c>
      <c r="H139" s="498">
        <f t="shared" si="16"/>
        <v>10661794.858334301</v>
      </c>
      <c r="I139" s="499">
        <f t="shared" si="17"/>
        <v>6639629.9960541464</v>
      </c>
      <c r="J139" s="379"/>
    </row>
    <row r="140" spans="2:10" x14ac:dyDescent="0.25">
      <c r="B140" s="524">
        <v>2029</v>
      </c>
      <c r="C140" s="530">
        <v>6</v>
      </c>
      <c r="D140" s="531">
        <v>9</v>
      </c>
      <c r="E140" s="527">
        <f t="shared" si="15"/>
        <v>69328.272887034109</v>
      </c>
      <c r="F140" s="528">
        <f t="shared" si="15"/>
        <v>796031.06563604204</v>
      </c>
      <c r="G140" s="528">
        <f t="shared" si="15"/>
        <v>9849744.4941028971</v>
      </c>
      <c r="H140" s="498">
        <f t="shared" si="16"/>
        <v>10715103.832625974</v>
      </c>
      <c r="I140" s="499">
        <f t="shared" si="17"/>
        <v>6236287.9869480543</v>
      </c>
      <c r="J140" s="379"/>
    </row>
    <row r="141" spans="2:10" x14ac:dyDescent="0.25">
      <c r="B141" s="529">
        <v>2030</v>
      </c>
      <c r="C141" s="530">
        <v>7</v>
      </c>
      <c r="D141" s="531">
        <v>10</v>
      </c>
      <c r="E141" s="527">
        <f t="shared" si="15"/>
        <v>69674.914251469265</v>
      </c>
      <c r="F141" s="528">
        <f t="shared" si="15"/>
        <v>800011.22096422222</v>
      </c>
      <c r="G141" s="528">
        <f t="shared" si="15"/>
        <v>9898993.2165734079</v>
      </c>
      <c r="H141" s="498">
        <f t="shared" si="16"/>
        <v>10768679.3517891</v>
      </c>
      <c r="I141" s="499">
        <f t="shared" si="17"/>
        <v>5857448.062507282</v>
      </c>
      <c r="J141" s="379"/>
    </row>
    <row r="142" spans="2:10" x14ac:dyDescent="0.25">
      <c r="B142" s="524">
        <v>2031</v>
      </c>
      <c r="C142" s="530">
        <v>8</v>
      </c>
      <c r="D142" s="531">
        <v>11</v>
      </c>
      <c r="E142" s="527">
        <f t="shared" si="15"/>
        <v>70023.288822726623</v>
      </c>
      <c r="F142" s="528">
        <f t="shared" si="15"/>
        <v>804011.27706904325</v>
      </c>
      <c r="G142" s="528">
        <f t="shared" si="15"/>
        <v>9948488.182656277</v>
      </c>
      <c r="H142" s="498">
        <f t="shared" si="16"/>
        <v>10822522.748548048</v>
      </c>
      <c r="I142" s="499">
        <f t="shared" si="17"/>
        <v>5501621.77833628</v>
      </c>
      <c r="J142" s="379"/>
    </row>
    <row r="143" spans="2:10" x14ac:dyDescent="0.25">
      <c r="B143" s="529">
        <v>2032</v>
      </c>
      <c r="C143" s="530">
        <v>9</v>
      </c>
      <c r="D143" s="531">
        <v>12</v>
      </c>
      <c r="E143" s="527">
        <f t="shared" si="15"/>
        <v>70373.405266840258</v>
      </c>
      <c r="F143" s="528">
        <f t="shared" si="15"/>
        <v>808031.33345438796</v>
      </c>
      <c r="G143" s="528">
        <f t="shared" si="15"/>
        <v>9998230.6235695537</v>
      </c>
      <c r="H143" s="498">
        <f t="shared" si="16"/>
        <v>10876635.362290781</v>
      </c>
      <c r="I143" s="499">
        <f t="shared" si="17"/>
        <v>5167411.1095588394</v>
      </c>
      <c r="J143" s="379"/>
    </row>
    <row r="144" spans="2:10" x14ac:dyDescent="0.25">
      <c r="B144" s="524">
        <v>2033</v>
      </c>
      <c r="C144" s="530">
        <v>10</v>
      </c>
      <c r="D144" s="531">
        <v>13</v>
      </c>
      <c r="E144" s="527">
        <f t="shared" si="15"/>
        <v>70725.272293174436</v>
      </c>
      <c r="F144" s="528">
        <f t="shared" si="15"/>
        <v>812071.49012166006</v>
      </c>
      <c r="G144" s="528">
        <f t="shared" si="15"/>
        <v>10048221.7766874</v>
      </c>
      <c r="H144" s="498">
        <f t="shared" si="16"/>
        <v>10931018.539102234</v>
      </c>
      <c r="I144" s="499">
        <f t="shared" si="17"/>
        <v>4853502.9580435827</v>
      </c>
      <c r="J144" s="379"/>
    </row>
    <row r="145" spans="2:10" x14ac:dyDescent="0.25">
      <c r="B145" s="529">
        <v>2034</v>
      </c>
      <c r="C145" s="530">
        <v>11</v>
      </c>
      <c r="D145" s="531">
        <v>14</v>
      </c>
      <c r="E145" s="527">
        <f t="shared" si="15"/>
        <v>71078.898654640318</v>
      </c>
      <c r="F145" s="528">
        <f t="shared" si="15"/>
        <v>816131.84757226822</v>
      </c>
      <c r="G145" s="528">
        <f t="shared" si="15"/>
        <v>10098462.885570837</v>
      </c>
      <c r="H145" s="498">
        <f t="shared" si="16"/>
        <v>10985673.631797746</v>
      </c>
      <c r="I145" s="499">
        <f t="shared" si="17"/>
        <v>4558663.9933026172</v>
      </c>
      <c r="J145" s="379"/>
    </row>
    <row r="146" spans="2:10" x14ac:dyDescent="0.25">
      <c r="B146" s="524">
        <v>2035</v>
      </c>
      <c r="C146" s="530">
        <v>12</v>
      </c>
      <c r="D146" s="531">
        <v>15</v>
      </c>
      <c r="E146" s="527">
        <f t="shared" si="15"/>
        <v>71434.293147913486</v>
      </c>
      <c r="F146" s="528">
        <f t="shared" si="15"/>
        <v>820212.50681012974</v>
      </c>
      <c r="G146" s="528">
        <f t="shared" si="15"/>
        <v>10148955.199998692</v>
      </c>
      <c r="H146" s="498">
        <f t="shared" si="16"/>
        <v>11040601.999956734</v>
      </c>
      <c r="I146" s="499">
        <f t="shared" si="17"/>
        <v>4281735.8067935798</v>
      </c>
      <c r="J146" s="379"/>
    </row>
    <row r="147" spans="2:10" x14ac:dyDescent="0.25">
      <c r="B147" s="529">
        <v>2036</v>
      </c>
      <c r="C147" s="530">
        <v>13</v>
      </c>
      <c r="D147" s="531">
        <v>16</v>
      </c>
      <c r="E147" s="527">
        <f t="shared" si="15"/>
        <v>71791.46461365305</v>
      </c>
      <c r="F147" s="528">
        <f t="shared" si="15"/>
        <v>824313.56934417994</v>
      </c>
      <c r="G147" s="528">
        <f t="shared" si="15"/>
        <v>10199699.975998679</v>
      </c>
      <c r="H147" s="498">
        <f t="shared" si="16"/>
        <v>11095805.009956513</v>
      </c>
      <c r="I147" s="499">
        <f t="shared" si="17"/>
        <v>4021630.3605864909</v>
      </c>
      <c r="J147" s="379"/>
    </row>
    <row r="148" spans="2:10" x14ac:dyDescent="0.25">
      <c r="B148" s="524">
        <v>2037</v>
      </c>
      <c r="C148" s="530">
        <v>14</v>
      </c>
      <c r="D148" s="531">
        <v>17</v>
      </c>
      <c r="E148" s="527">
        <f t="shared" si="15"/>
        <v>72150.421936721279</v>
      </c>
      <c r="F148" s="528">
        <f t="shared" si="15"/>
        <v>828435.13719090063</v>
      </c>
      <c r="G148" s="528">
        <f t="shared" si="15"/>
        <v>10250698.475878673</v>
      </c>
      <c r="H148" s="498">
        <f t="shared" si="16"/>
        <v>11151284.035006294</v>
      </c>
      <c r="I148" s="499">
        <f t="shared" si="17"/>
        <v>3777325.7125134799</v>
      </c>
      <c r="J148" s="379"/>
    </row>
    <row r="149" spans="2:10" x14ac:dyDescent="0.25">
      <c r="B149" s="529">
        <v>2038</v>
      </c>
      <c r="C149" s="530">
        <v>15</v>
      </c>
      <c r="D149" s="531">
        <v>18</v>
      </c>
      <c r="E149" s="527">
        <f t="shared" si="15"/>
        <v>72511.174046404907</v>
      </c>
      <c r="F149" s="528">
        <f t="shared" si="15"/>
        <v>832577.31287685526</v>
      </c>
      <c r="G149" s="528">
        <f t="shared" si="15"/>
        <v>10301951.968258068</v>
      </c>
      <c r="H149" s="498">
        <f t="shared" si="16"/>
        <v>11207040.455181329</v>
      </c>
      <c r="I149" s="499">
        <f t="shared" si="17"/>
        <v>3547862.0010056528</v>
      </c>
      <c r="J149" s="379"/>
    </row>
    <row r="150" spans="2:10" x14ac:dyDescent="0.25">
      <c r="B150" s="524">
        <v>2039</v>
      </c>
      <c r="C150" s="530">
        <v>16</v>
      </c>
      <c r="D150" s="531">
        <v>19</v>
      </c>
      <c r="E150" s="527">
        <f t="shared" si="15"/>
        <v>72873.729916636905</v>
      </c>
      <c r="F150" s="528">
        <f t="shared" si="15"/>
        <v>836740.19944123924</v>
      </c>
      <c r="G150" s="528">
        <f t="shared" si="15"/>
        <v>10353461.728099355</v>
      </c>
      <c r="H150" s="498">
        <f t="shared" si="16"/>
        <v>11263075.657457232</v>
      </c>
      <c r="I150" s="499">
        <f t="shared" si="17"/>
        <v>3332337.6738417572</v>
      </c>
      <c r="J150" s="379"/>
    </row>
    <row r="151" spans="2:10" x14ac:dyDescent="0.25">
      <c r="B151" s="529">
        <v>2040</v>
      </c>
      <c r="C151" s="530">
        <v>17</v>
      </c>
      <c r="D151" s="531">
        <v>20</v>
      </c>
      <c r="E151" s="527">
        <f t="shared" si="15"/>
        <v>73238.098566220055</v>
      </c>
      <c r="F151" s="528">
        <f t="shared" si="15"/>
        <v>840923.90043844515</v>
      </c>
      <c r="G151" s="528">
        <f t="shared" si="15"/>
        <v>10405229.03673985</v>
      </c>
      <c r="H151" s="498">
        <f t="shared" si="16"/>
        <v>11319391.035744516</v>
      </c>
      <c r="I151" s="499">
        <f t="shared" si="17"/>
        <v>3129905.9459915562</v>
      </c>
      <c r="J151" s="379"/>
    </row>
    <row r="152" spans="2:10" x14ac:dyDescent="0.25">
      <c r="B152" s="524">
        <v>2041</v>
      </c>
      <c r="C152" s="530">
        <v>18</v>
      </c>
      <c r="D152" s="531">
        <v>21</v>
      </c>
      <c r="E152" s="527">
        <f t="shared" si="15"/>
        <v>73604.289059051196</v>
      </c>
      <c r="F152" s="528">
        <f t="shared" si="15"/>
        <v>845128.5199406374</v>
      </c>
      <c r="G152" s="528">
        <f t="shared" si="15"/>
        <v>10457255.181923548</v>
      </c>
      <c r="H152" s="498">
        <f t="shared" si="16"/>
        <v>11375987.990923237</v>
      </c>
      <c r="I152" s="499">
        <f t="shared" si="17"/>
        <v>2939771.4726369283</v>
      </c>
      <c r="J152" s="379"/>
    </row>
    <row r="153" spans="2:10" x14ac:dyDescent="0.25">
      <c r="B153" s="529">
        <v>2042</v>
      </c>
      <c r="C153" s="530">
        <v>19</v>
      </c>
      <c r="D153" s="531">
        <v>22</v>
      </c>
      <c r="E153" s="527">
        <f t="shared" si="15"/>
        <v>73972.310504346402</v>
      </c>
      <c r="F153" s="528">
        <f t="shared" si="15"/>
        <v>849354.16254034045</v>
      </c>
      <c r="G153" s="528">
        <f t="shared" si="15"/>
        <v>10509541.457833163</v>
      </c>
      <c r="H153" s="498">
        <f t="shared" si="16"/>
        <v>11432867.930877849</v>
      </c>
      <c r="I153" s="499">
        <f t="shared" si="17"/>
        <v>2761187.2242991701</v>
      </c>
      <c r="J153" s="379"/>
    </row>
    <row r="154" spans="2:10" x14ac:dyDescent="0.25">
      <c r="B154" s="524">
        <v>2043</v>
      </c>
      <c r="C154" s="530">
        <v>20</v>
      </c>
      <c r="D154" s="531">
        <v>23</v>
      </c>
      <c r="E154" s="527">
        <f t="shared" si="15"/>
        <v>74342.172056868119</v>
      </c>
      <c r="F154" s="528">
        <f t="shared" si="15"/>
        <v>853600.93335304188</v>
      </c>
      <c r="G154" s="528">
        <f t="shared" si="15"/>
        <v>10562089.165122326</v>
      </c>
      <c r="H154" s="498">
        <f t="shared" si="16"/>
        <v>11490032.270532236</v>
      </c>
      <c r="I154" s="499">
        <f t="shared" si="17"/>
        <v>2593451.5517950142</v>
      </c>
      <c r="J154" s="379"/>
    </row>
    <row r="155" spans="2:10" x14ac:dyDescent="0.25">
      <c r="B155" s="521">
        <v>2044</v>
      </c>
      <c r="C155" s="522">
        <v>21</v>
      </c>
      <c r="D155" s="532">
        <v>24</v>
      </c>
      <c r="E155" s="527">
        <f t="shared" si="15"/>
        <v>74713.882917152456</v>
      </c>
      <c r="F155" s="528">
        <f t="shared" si="15"/>
        <v>857868.9380198071</v>
      </c>
      <c r="G155" s="528">
        <f t="shared" si="15"/>
        <v>10614899.610947939</v>
      </c>
      <c r="H155" s="498">
        <f t="shared" si="16"/>
        <v>11547482.431884898</v>
      </c>
      <c r="I155" s="499">
        <f t="shared" si="17"/>
        <v>2435905.4294897099</v>
      </c>
    </row>
    <row r="156" spans="2:10" x14ac:dyDescent="0.25">
      <c r="B156" s="524">
        <v>2045</v>
      </c>
      <c r="C156" s="530">
        <v>22</v>
      </c>
      <c r="D156" s="531">
        <v>25</v>
      </c>
      <c r="E156" s="527">
        <f t="shared" si="15"/>
        <v>75087.452331738197</v>
      </c>
      <c r="F156" s="528">
        <f t="shared" si="15"/>
        <v>862158.28270990588</v>
      </c>
      <c r="G156" s="528">
        <f t="shared" si="15"/>
        <v>10667974.10900267</v>
      </c>
      <c r="H156" s="498">
        <f t="shared" si="16"/>
        <v>11605219.844044315</v>
      </c>
      <c r="I156" s="499">
        <f t="shared" si="17"/>
        <v>2287929.866016034</v>
      </c>
    </row>
    <row r="157" spans="2:10" x14ac:dyDescent="0.25">
      <c r="B157" s="529">
        <v>2046</v>
      </c>
      <c r="C157" s="530">
        <v>23</v>
      </c>
      <c r="D157" s="531">
        <v>26</v>
      </c>
      <c r="E157" s="527">
        <f t="shared" si="15"/>
        <v>75462.889593396889</v>
      </c>
      <c r="F157" s="528">
        <f t="shared" si="15"/>
        <v>866469.07412345521</v>
      </c>
      <c r="G157" s="528">
        <f t="shared" si="15"/>
        <v>10721313.979547683</v>
      </c>
      <c r="H157" s="498">
        <f t="shared" si="16"/>
        <v>11663245.943264535</v>
      </c>
      <c r="I157" s="499">
        <f t="shared" si="17"/>
        <v>2148943.4722860879</v>
      </c>
    </row>
    <row r="158" spans="2:10" x14ac:dyDescent="0.25">
      <c r="B158" s="524">
        <v>2047</v>
      </c>
      <c r="C158" s="530">
        <v>24</v>
      </c>
      <c r="D158" s="531">
        <v>27</v>
      </c>
      <c r="E158" s="527">
        <f t="shared" si="15"/>
        <v>75840.204041363861</v>
      </c>
      <c r="F158" s="528">
        <f t="shared" si="15"/>
        <v>870801.41949407244</v>
      </c>
      <c r="G158" s="528">
        <f t="shared" si="15"/>
        <v>10774920.549445421</v>
      </c>
      <c r="H158" s="498">
        <f t="shared" si="16"/>
        <v>11721562.172980856</v>
      </c>
      <c r="I158" s="499">
        <f t="shared" si="17"/>
        <v>2018400.1772406714</v>
      </c>
    </row>
    <row r="159" spans="2:10" x14ac:dyDescent="0.25">
      <c r="B159" s="529">
        <v>2048</v>
      </c>
      <c r="C159" s="530">
        <v>25</v>
      </c>
      <c r="D159" s="531">
        <v>28</v>
      </c>
      <c r="E159" s="527">
        <f t="shared" si="15"/>
        <v>76219.40506157068</v>
      </c>
      <c r="F159" s="528">
        <f t="shared" si="15"/>
        <v>875155.42659154267</v>
      </c>
      <c r="G159" s="528">
        <f t="shared" si="15"/>
        <v>10828795.152192652</v>
      </c>
      <c r="H159" s="498">
        <f t="shared" si="16"/>
        <v>11780169.983845765</v>
      </c>
      <c r="I159" s="499">
        <f t="shared" si="17"/>
        <v>1895787.0823615654</v>
      </c>
    </row>
    <row r="160" spans="2:10" x14ac:dyDescent="0.25">
      <c r="B160" s="524">
        <v>2049</v>
      </c>
      <c r="C160" s="530">
        <v>26</v>
      </c>
      <c r="D160" s="531">
        <v>29</v>
      </c>
      <c r="E160" s="527">
        <f t="shared" si="15"/>
        <v>76600.502086878492</v>
      </c>
      <c r="F160" s="528">
        <f t="shared" si="15"/>
        <v>879531.20372450026</v>
      </c>
      <c r="G160" s="528">
        <f t="shared" si="15"/>
        <v>10882939.127953611</v>
      </c>
      <c r="H160" s="498">
        <f t="shared" si="16"/>
        <v>11839070.833764991</v>
      </c>
      <c r="I160" s="499">
        <f t="shared" si="17"/>
        <v>1780622.4465171711</v>
      </c>
    </row>
    <row r="161" spans="2:9" x14ac:dyDescent="0.25">
      <c r="B161" s="529">
        <v>2050</v>
      </c>
      <c r="C161" s="530">
        <v>27</v>
      </c>
      <c r="D161" s="531">
        <v>30</v>
      </c>
      <c r="E161" s="527">
        <f t="shared" si="15"/>
        <v>76983.504597312916</v>
      </c>
      <c r="F161" s="528">
        <f t="shared" si="15"/>
        <v>883928.85974312306</v>
      </c>
      <c r="G161" s="528">
        <f t="shared" si="15"/>
        <v>10937353.82359338</v>
      </c>
      <c r="H161" s="498">
        <f t="shared" si="16"/>
        <v>11898266.187933816</v>
      </c>
      <c r="I161" s="499">
        <f t="shared" si="17"/>
        <v>1672453.7932240719</v>
      </c>
    </row>
    <row r="162" spans="2:9" x14ac:dyDescent="0.25">
      <c r="B162" s="524">
        <v>2051</v>
      </c>
      <c r="C162" s="530">
        <v>28</v>
      </c>
      <c r="D162" s="531">
        <v>31</v>
      </c>
      <c r="E162" s="527">
        <f t="shared" si="15"/>
        <v>77368.422120299467</v>
      </c>
      <c r="F162" s="528">
        <f t="shared" si="15"/>
        <v>888348.50404183823</v>
      </c>
      <c r="G162" s="528">
        <f t="shared" si="15"/>
        <v>10992040.592711344</v>
      </c>
      <c r="H162" s="498">
        <f t="shared" si="16"/>
        <v>11957757.518873483</v>
      </c>
      <c r="I162" s="499">
        <f t="shared" si="17"/>
        <v>1570856.13288803</v>
      </c>
    </row>
    <row r="163" spans="2:9" x14ac:dyDescent="0.25">
      <c r="B163" s="529">
        <v>2052</v>
      </c>
      <c r="C163" s="530">
        <v>29</v>
      </c>
      <c r="D163" s="531">
        <v>32</v>
      </c>
      <c r="E163" s="527">
        <f t="shared" si="15"/>
        <v>77755.264230900939</v>
      </c>
      <c r="F163" s="528">
        <f t="shared" si="15"/>
        <v>892790.24656204716</v>
      </c>
      <c r="G163" s="528">
        <f t="shared" si="15"/>
        <v>11047000.795674896</v>
      </c>
      <c r="H163" s="498">
        <f t="shared" si="16"/>
        <v>12017546.306467844</v>
      </c>
      <c r="I163" s="499">
        <f t="shared" si="17"/>
        <v>1475430.2930396907</v>
      </c>
    </row>
    <row r="164" spans="2:9" x14ac:dyDescent="0.25">
      <c r="B164" s="524">
        <v>2053</v>
      </c>
      <c r="C164" s="530">
        <v>30</v>
      </c>
      <c r="D164" s="531">
        <v>33</v>
      </c>
      <c r="E164" s="527">
        <f t="shared" si="15"/>
        <v>78144.040552055434</v>
      </c>
      <c r="F164" s="528">
        <f t="shared" si="15"/>
        <v>897254.1977948572</v>
      </c>
      <c r="G164" s="528">
        <f t="shared" si="15"/>
        <v>11102235.799653269</v>
      </c>
      <c r="H164" s="498">
        <f t="shared" si="16"/>
        <v>12077634.038000181</v>
      </c>
      <c r="I164" s="499">
        <f t="shared" si="17"/>
        <v>1385801.3500045692</v>
      </c>
    </row>
    <row r="165" spans="2:9" x14ac:dyDescent="0.25">
      <c r="B165" s="533">
        <v>2054</v>
      </c>
      <c r="C165" s="534">
        <v>31</v>
      </c>
      <c r="D165" s="535">
        <v>34</v>
      </c>
      <c r="E165" s="527">
        <f t="shared" ref="E165:G167" si="18">L39</f>
        <v>78534.760754815696</v>
      </c>
      <c r="F165" s="528">
        <f t="shared" si="18"/>
        <v>901740.46878383169</v>
      </c>
      <c r="G165" s="528">
        <f t="shared" si="18"/>
        <v>11157746.978651533</v>
      </c>
      <c r="H165" s="498">
        <f t="shared" ref="H165:H166" si="19">SUM(E165:G165)</f>
        <v>12138022.20819018</v>
      </c>
      <c r="I165" s="517">
        <f t="shared" si="17"/>
        <v>1301617.155845413</v>
      </c>
    </row>
    <row r="166" spans="2:9" x14ac:dyDescent="0.25">
      <c r="B166" s="533">
        <v>2055</v>
      </c>
      <c r="C166" s="534">
        <v>32</v>
      </c>
      <c r="D166" s="535">
        <v>35</v>
      </c>
      <c r="E166" s="527">
        <f t="shared" si="18"/>
        <v>78927.434558589739</v>
      </c>
      <c r="F166" s="528">
        <f t="shared" si="18"/>
        <v>906249.17112775065</v>
      </c>
      <c r="G166" s="528">
        <f t="shared" si="18"/>
        <v>11213535.713544793</v>
      </c>
      <c r="H166" s="498">
        <f t="shared" si="19"/>
        <v>12198712.319231134</v>
      </c>
      <c r="I166" s="517">
        <f t="shared" si="17"/>
        <v>1222546.9547893836</v>
      </c>
    </row>
    <row r="167" spans="2:9" x14ac:dyDescent="0.25">
      <c r="B167" s="533">
        <f t="shared" ref="B167:D167" si="20">B166+1</f>
        <v>2056</v>
      </c>
      <c r="C167" s="534">
        <f t="shared" si="20"/>
        <v>33</v>
      </c>
      <c r="D167" s="535">
        <f t="shared" si="20"/>
        <v>36</v>
      </c>
      <c r="E167" s="527">
        <f t="shared" si="18"/>
        <v>79322.071731382704</v>
      </c>
      <c r="F167" s="528">
        <f t="shared" si="18"/>
        <v>910780.41698338918</v>
      </c>
      <c r="G167" s="528">
        <f t="shared" si="18"/>
        <v>11269603.392112514</v>
      </c>
      <c r="H167" s="498">
        <f t="shared" ref="H167" si="21">SUM(E167:G167)</f>
        <v>12259705.880827285</v>
      </c>
      <c r="I167" s="517">
        <f t="shared" si="17"/>
        <v>1148280.0837040467</v>
      </c>
    </row>
    <row r="168" spans="2:9" ht="15.75" thickBot="1" x14ac:dyDescent="0.3">
      <c r="B168" s="536">
        <v>2057</v>
      </c>
      <c r="C168" s="537">
        <v>34</v>
      </c>
      <c r="D168" s="538">
        <v>37</v>
      </c>
      <c r="E168" s="527">
        <f>L42</f>
        <v>79718.682090039627</v>
      </c>
      <c r="F168" s="528">
        <f>M42</f>
        <v>915334.31906830589</v>
      </c>
      <c r="G168" s="528">
        <f>N42</f>
        <v>11325951.409073075</v>
      </c>
      <c r="H168" s="500">
        <f t="shared" si="16"/>
        <v>12321004.410231421</v>
      </c>
      <c r="I168" s="501">
        <f t="shared" si="17"/>
        <v>1078524.7515164176</v>
      </c>
    </row>
    <row r="169" spans="2:9" ht="15.75" thickBot="1" x14ac:dyDescent="0.3">
      <c r="D169" s="1"/>
      <c r="E169" s="58">
        <f>SUM(E132:E168)</f>
        <v>2499302.3276906894</v>
      </c>
      <c r="F169" s="58">
        <f>SUM(F132:F168)</f>
        <v>28697127.627859071</v>
      </c>
      <c r="G169" s="58">
        <f>SUM(G132:G168)</f>
        <v>355085859.1469962</v>
      </c>
      <c r="H169" s="59">
        <f>SUM(H132:H168)</f>
        <v>386282289.10254592</v>
      </c>
      <c r="I169" s="50">
        <f>SUM(I132:I168)</f>
        <v>123762518.51110516</v>
      </c>
    </row>
  </sheetData>
  <mergeCells count="26">
    <mergeCell ref="L4:N4"/>
    <mergeCell ref="B46:B47"/>
    <mergeCell ref="C46:C47"/>
    <mergeCell ref="D46:D47"/>
    <mergeCell ref="E46:E47"/>
    <mergeCell ref="F46:H46"/>
    <mergeCell ref="I46:K46"/>
    <mergeCell ref="L46:N46"/>
    <mergeCell ref="B4:B5"/>
    <mergeCell ref="C4:C5"/>
    <mergeCell ref="D4:D5"/>
    <mergeCell ref="E4:E5"/>
    <mergeCell ref="F4:H4"/>
    <mergeCell ref="I4:K4"/>
    <mergeCell ref="L88:N88"/>
    <mergeCell ref="B130:B131"/>
    <mergeCell ref="C130:C131"/>
    <mergeCell ref="D130:D131"/>
    <mergeCell ref="E130:H130"/>
    <mergeCell ref="I130:I131"/>
    <mergeCell ref="B88:B89"/>
    <mergeCell ref="C88:C89"/>
    <mergeCell ref="D88:D89"/>
    <mergeCell ref="E88:E89"/>
    <mergeCell ref="F88:H88"/>
    <mergeCell ref="I88:K88"/>
  </mergeCells>
  <pageMargins left="0.7" right="0.7" top="0.75" bottom="0.75" header="0.3" footer="0.3"/>
  <pageSetup orientation="portrait" r:id="rId1"/>
  <headerFooter>
    <oddHeader>&amp;CI-680 Highway Preservation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9C91-2461-4095-BFC3-9EC9A573E4F2}">
  <dimension ref="A1:P94"/>
  <sheetViews>
    <sheetView workbookViewId="0">
      <selection activeCell="D32" sqref="D32"/>
    </sheetView>
  </sheetViews>
  <sheetFormatPr defaultColWidth="8.85546875" defaultRowHeight="15" x14ac:dyDescent="0.25"/>
  <cols>
    <col min="1" max="1" width="25.7109375" style="519" customWidth="1"/>
    <col min="2" max="4" width="20.85546875" style="519" customWidth="1"/>
    <col min="5" max="5" width="13.7109375" style="519" bestFit="1" customWidth="1"/>
    <col min="6" max="6" width="21.28515625" style="519" bestFit="1" customWidth="1"/>
    <col min="7" max="7" width="20.85546875" style="519" bestFit="1" customWidth="1"/>
    <col min="8" max="8" width="18.7109375" style="519" customWidth="1"/>
    <col min="9" max="9" width="17.28515625" style="519" customWidth="1"/>
    <col min="10" max="10" width="12.28515625" style="519" bestFit="1" customWidth="1"/>
    <col min="11" max="11" width="13.7109375" style="519" bestFit="1" customWidth="1"/>
    <col min="12" max="12" width="19.7109375" style="519" bestFit="1" customWidth="1"/>
    <col min="13" max="13" width="13.5703125" style="519" bestFit="1" customWidth="1"/>
    <col min="14" max="14" width="12.28515625" style="519" bestFit="1" customWidth="1"/>
    <col min="15" max="15" width="11.28515625" style="519" bestFit="1" customWidth="1"/>
    <col min="16" max="16" width="16.5703125" style="519" bestFit="1" customWidth="1"/>
    <col min="17" max="16384" width="8.85546875" style="519"/>
  </cols>
  <sheetData>
    <row r="1" spans="1:16" ht="18.75" x14ac:dyDescent="0.3">
      <c r="A1" s="518" t="s">
        <v>121</v>
      </c>
    </row>
    <row r="2" spans="1:16" x14ac:dyDescent="0.25">
      <c r="B2" s="28"/>
      <c r="C2" s="28"/>
      <c r="D2" s="28"/>
      <c r="E2" s="461"/>
      <c r="F2" s="462"/>
      <c r="G2" s="462"/>
      <c r="H2" s="463"/>
    </row>
    <row r="3" spans="1:16" ht="15.75" thickBot="1" x14ac:dyDescent="0.3">
      <c r="A3" s="18" t="s">
        <v>123</v>
      </c>
      <c r="B3" s="28"/>
      <c r="C3" s="28"/>
      <c r="D3" s="28"/>
      <c r="E3" s="461"/>
      <c r="F3" s="462"/>
      <c r="G3" s="462"/>
      <c r="H3" s="463"/>
    </row>
    <row r="4" spans="1:16" ht="30" x14ac:dyDescent="0.25">
      <c r="A4" s="347" t="s">
        <v>15</v>
      </c>
      <c r="B4" s="352" t="s">
        <v>164</v>
      </c>
      <c r="C4" s="352" t="s">
        <v>165</v>
      </c>
      <c r="D4" s="352" t="s">
        <v>16</v>
      </c>
      <c r="E4" s="352" t="s">
        <v>120</v>
      </c>
      <c r="F4" s="352" t="s">
        <v>17</v>
      </c>
      <c r="G4" s="373" t="s">
        <v>166</v>
      </c>
      <c r="H4" s="359" t="s">
        <v>18</v>
      </c>
      <c r="I4" s="363" t="s">
        <v>130</v>
      </c>
      <c r="J4" s="18"/>
      <c r="K4" s="18"/>
      <c r="L4" s="18"/>
      <c r="M4" s="18"/>
    </row>
    <row r="5" spans="1:16" x14ac:dyDescent="0.25">
      <c r="A5" s="348" t="s">
        <v>19</v>
      </c>
      <c r="B5" s="464"/>
      <c r="C5" s="464">
        <v>44562</v>
      </c>
      <c r="D5" s="464">
        <v>44927</v>
      </c>
      <c r="E5" s="464">
        <v>44927</v>
      </c>
      <c r="F5" s="464">
        <v>46023</v>
      </c>
      <c r="G5" s="465"/>
      <c r="H5" s="360">
        <v>44927</v>
      </c>
      <c r="I5" s="466"/>
      <c r="J5" s="467"/>
      <c r="K5" s="467"/>
      <c r="L5" s="467"/>
      <c r="M5" s="468"/>
    </row>
    <row r="6" spans="1:16" x14ac:dyDescent="0.25">
      <c r="A6" s="348" t="s">
        <v>20</v>
      </c>
      <c r="B6" s="464">
        <v>44377</v>
      </c>
      <c r="C6" s="464">
        <v>45292</v>
      </c>
      <c r="D6" s="464">
        <v>45809</v>
      </c>
      <c r="E6" s="464">
        <v>45809</v>
      </c>
      <c r="F6" s="464">
        <v>46478</v>
      </c>
      <c r="G6" s="465"/>
      <c r="H6" s="360">
        <v>46478</v>
      </c>
      <c r="I6" s="466"/>
      <c r="J6" s="467"/>
      <c r="K6" s="467"/>
      <c r="L6" s="467"/>
      <c r="M6" s="468"/>
    </row>
    <row r="7" spans="1:16" x14ac:dyDescent="0.25">
      <c r="A7" s="348" t="s">
        <v>163</v>
      </c>
      <c r="B7" s="445"/>
      <c r="C7" s="445">
        <v>1959000</v>
      </c>
      <c r="D7" s="445">
        <v>3027000</v>
      </c>
      <c r="E7" s="443">
        <v>244000</v>
      </c>
      <c r="F7" s="443">
        <v>32866000</v>
      </c>
      <c r="G7" s="375"/>
      <c r="H7" s="361">
        <v>38096000</v>
      </c>
      <c r="I7" s="365"/>
      <c r="J7" s="83"/>
      <c r="K7" s="83"/>
      <c r="L7" s="83"/>
      <c r="M7" s="25"/>
    </row>
    <row r="8" spans="1:16" ht="15.75" thickBot="1" x14ac:dyDescent="0.3">
      <c r="A8" s="349" t="s">
        <v>162</v>
      </c>
      <c r="B8" s="444">
        <v>0</v>
      </c>
      <c r="C8" s="444">
        <v>1919820</v>
      </c>
      <c r="D8" s="444">
        <v>2966460</v>
      </c>
      <c r="E8" s="444">
        <v>239120</v>
      </c>
      <c r="F8" s="444">
        <v>32208680</v>
      </c>
      <c r="G8" s="444">
        <v>0</v>
      </c>
      <c r="H8" s="362">
        <v>37334080</v>
      </c>
      <c r="I8" s="366"/>
      <c r="J8" s="83"/>
      <c r="K8" s="83"/>
      <c r="L8" s="83"/>
      <c r="M8" s="25"/>
    </row>
    <row r="9" spans="1:16" x14ac:dyDescent="0.25">
      <c r="A9" s="356">
        <v>2021</v>
      </c>
      <c r="B9" s="448">
        <v>0</v>
      </c>
      <c r="C9" s="451">
        <v>0</v>
      </c>
      <c r="D9" s="448">
        <v>0</v>
      </c>
      <c r="E9" s="451">
        <v>0</v>
      </c>
      <c r="F9" s="448">
        <v>0</v>
      </c>
      <c r="G9" s="376">
        <v>0</v>
      </c>
      <c r="H9" s="361">
        <v>0</v>
      </c>
      <c r="I9" s="367">
        <v>0</v>
      </c>
      <c r="J9" s="83"/>
      <c r="K9" s="83"/>
      <c r="L9" s="83"/>
      <c r="M9" s="25"/>
      <c r="P9" s="53"/>
    </row>
    <row r="10" spans="1:16" x14ac:dyDescent="0.25">
      <c r="A10" s="348">
        <v>2022</v>
      </c>
      <c r="B10" s="447">
        <v>0</v>
      </c>
      <c r="C10" s="447">
        <v>879917.5</v>
      </c>
      <c r="D10" s="447">
        <v>0</v>
      </c>
      <c r="E10" s="447">
        <v>0</v>
      </c>
      <c r="F10" s="447">
        <v>0</v>
      </c>
      <c r="G10" s="358">
        <v>0</v>
      </c>
      <c r="H10" s="361">
        <v>879917.5</v>
      </c>
      <c r="I10" s="368">
        <v>822352.80373831769</v>
      </c>
      <c r="J10" s="83"/>
      <c r="K10" s="83"/>
      <c r="L10" s="83"/>
      <c r="M10" s="25"/>
      <c r="O10" s="53"/>
      <c r="P10" s="53"/>
    </row>
    <row r="11" spans="1:16" x14ac:dyDescent="0.25">
      <c r="A11" s="348">
        <v>2023</v>
      </c>
      <c r="B11" s="447">
        <v>0</v>
      </c>
      <c r="C11" s="447">
        <v>959910</v>
      </c>
      <c r="D11" s="447">
        <v>1125208.9655172413</v>
      </c>
      <c r="E11" s="447">
        <v>90700.689655172406</v>
      </c>
      <c r="F11" s="447">
        <v>0</v>
      </c>
      <c r="G11" s="358">
        <v>0</v>
      </c>
      <c r="H11" s="361">
        <v>2175819.6551724137</v>
      </c>
      <c r="I11" s="368">
        <v>1900445.1525656509</v>
      </c>
      <c r="J11" s="83"/>
      <c r="K11" s="83"/>
      <c r="L11" s="83"/>
      <c r="M11" s="25"/>
      <c r="P11" s="53"/>
    </row>
    <row r="12" spans="1:16" x14ac:dyDescent="0.25">
      <c r="A12" s="348">
        <v>2024</v>
      </c>
      <c r="B12" s="450">
        <v>0</v>
      </c>
      <c r="C12" s="450">
        <v>79992.5</v>
      </c>
      <c r="D12" s="447">
        <v>1227500.6896551724</v>
      </c>
      <c r="E12" s="447">
        <v>98946.20689655171</v>
      </c>
      <c r="F12" s="447">
        <v>0</v>
      </c>
      <c r="G12" s="358">
        <v>0</v>
      </c>
      <c r="H12" s="361">
        <v>1406439.3965517241</v>
      </c>
      <c r="I12" s="368">
        <v>1148073.4933808234</v>
      </c>
      <c r="J12" s="83"/>
      <c r="K12" s="83"/>
      <c r="L12" s="83"/>
      <c r="M12" s="25"/>
      <c r="P12" s="53"/>
    </row>
    <row r="13" spans="1:16" x14ac:dyDescent="0.25">
      <c r="A13" s="348">
        <v>2025</v>
      </c>
      <c r="B13" s="447">
        <v>0</v>
      </c>
      <c r="C13" s="447">
        <v>0</v>
      </c>
      <c r="D13" s="447">
        <v>613750.3448275862</v>
      </c>
      <c r="E13" s="447">
        <v>49473.103448275855</v>
      </c>
      <c r="F13" s="447">
        <v>0</v>
      </c>
      <c r="G13" s="358">
        <v>0</v>
      </c>
      <c r="H13" s="361">
        <v>663223.44827586203</v>
      </c>
      <c r="I13" s="368">
        <v>505969.99320730462</v>
      </c>
      <c r="J13" s="83"/>
      <c r="K13" s="83"/>
      <c r="L13" s="83"/>
      <c r="M13" s="25"/>
      <c r="P13" s="53"/>
    </row>
    <row r="14" spans="1:16" x14ac:dyDescent="0.25">
      <c r="A14" s="348">
        <v>2026</v>
      </c>
      <c r="B14" s="447">
        <v>0</v>
      </c>
      <c r="C14" s="447">
        <v>0</v>
      </c>
      <c r="D14" s="447">
        <v>0</v>
      </c>
      <c r="E14" s="447">
        <v>0</v>
      </c>
      <c r="F14" s="447">
        <v>23619698.666666668</v>
      </c>
      <c r="G14" s="358">
        <v>0</v>
      </c>
      <c r="H14" s="361">
        <v>23619698.666666668</v>
      </c>
      <c r="I14" s="368">
        <v>16840518.712902162</v>
      </c>
      <c r="J14" s="83"/>
      <c r="K14" s="83"/>
      <c r="L14" s="83"/>
      <c r="M14" s="25"/>
      <c r="P14" s="53"/>
    </row>
    <row r="15" spans="1:16" x14ac:dyDescent="0.25">
      <c r="A15" s="348">
        <v>2027</v>
      </c>
      <c r="B15" s="447">
        <v>0</v>
      </c>
      <c r="C15" s="447">
        <v>0</v>
      </c>
      <c r="D15" s="447">
        <v>0</v>
      </c>
      <c r="E15" s="447">
        <v>0</v>
      </c>
      <c r="F15" s="447">
        <v>8588981.333333334</v>
      </c>
      <c r="G15" s="358">
        <v>0</v>
      </c>
      <c r="H15" s="361">
        <v>8588981.333333334</v>
      </c>
      <c r="I15" s="368">
        <v>5723200.9219718482</v>
      </c>
      <c r="J15" s="83"/>
      <c r="K15" s="83"/>
      <c r="L15" s="83"/>
      <c r="M15" s="25"/>
      <c r="O15" s="53"/>
    </row>
    <row r="16" spans="1:16" x14ac:dyDescent="0.25">
      <c r="A16" s="348">
        <v>2028</v>
      </c>
      <c r="B16" s="447">
        <v>0</v>
      </c>
      <c r="C16" s="447">
        <v>0</v>
      </c>
      <c r="D16" s="447">
        <v>0</v>
      </c>
      <c r="E16" s="447">
        <v>0</v>
      </c>
      <c r="F16" s="447">
        <v>0</v>
      </c>
      <c r="G16" s="358">
        <v>0</v>
      </c>
      <c r="H16" s="361">
        <v>0</v>
      </c>
      <c r="I16" s="368">
        <v>0</v>
      </c>
      <c r="J16" s="83"/>
      <c r="K16" s="83"/>
      <c r="L16" s="83"/>
      <c r="M16" s="25"/>
    </row>
    <row r="17" spans="1:13" x14ac:dyDescent="0.25">
      <c r="A17" s="348">
        <v>2029</v>
      </c>
      <c r="B17" s="447">
        <v>0</v>
      </c>
      <c r="C17" s="447">
        <v>0</v>
      </c>
      <c r="D17" s="447">
        <v>0</v>
      </c>
      <c r="E17" s="447">
        <v>0</v>
      </c>
      <c r="F17" s="447">
        <v>0</v>
      </c>
      <c r="G17" s="358">
        <v>0</v>
      </c>
      <c r="H17" s="361">
        <v>0</v>
      </c>
      <c r="I17" s="368">
        <v>0</v>
      </c>
      <c r="J17" s="83"/>
      <c r="K17" s="83"/>
      <c r="L17" s="83"/>
      <c r="M17" s="25"/>
    </row>
    <row r="18" spans="1:13" x14ac:dyDescent="0.25">
      <c r="A18" s="348">
        <v>2030</v>
      </c>
      <c r="B18" s="447">
        <v>0</v>
      </c>
      <c r="C18" s="447">
        <v>0</v>
      </c>
      <c r="D18" s="447">
        <v>0</v>
      </c>
      <c r="E18" s="447">
        <v>0</v>
      </c>
      <c r="F18" s="447">
        <v>0</v>
      </c>
      <c r="G18" s="358">
        <v>0</v>
      </c>
      <c r="H18" s="361">
        <v>0</v>
      </c>
      <c r="I18" s="368">
        <v>0</v>
      </c>
      <c r="J18" s="83"/>
      <c r="K18" s="83"/>
      <c r="L18" s="83"/>
      <c r="M18" s="25"/>
    </row>
    <row r="19" spans="1:13" x14ac:dyDescent="0.25">
      <c r="A19" s="348">
        <v>2031</v>
      </c>
      <c r="B19" s="447">
        <v>0</v>
      </c>
      <c r="C19" s="447">
        <v>0</v>
      </c>
      <c r="D19" s="447">
        <v>0</v>
      </c>
      <c r="E19" s="447">
        <v>0</v>
      </c>
      <c r="F19" s="447">
        <v>0</v>
      </c>
      <c r="G19" s="358">
        <v>0</v>
      </c>
      <c r="H19" s="361">
        <v>0</v>
      </c>
      <c r="I19" s="368">
        <v>0</v>
      </c>
      <c r="J19" s="83"/>
      <c r="K19" s="83"/>
      <c r="L19" s="83"/>
      <c r="M19" s="25"/>
    </row>
    <row r="20" spans="1:13" x14ac:dyDescent="0.25">
      <c r="A20" s="348">
        <v>2032</v>
      </c>
      <c r="B20" s="447">
        <v>0</v>
      </c>
      <c r="C20" s="447">
        <v>0</v>
      </c>
      <c r="D20" s="447">
        <v>0</v>
      </c>
      <c r="E20" s="447">
        <v>0</v>
      </c>
      <c r="F20" s="447">
        <v>0</v>
      </c>
      <c r="G20" s="358">
        <v>0</v>
      </c>
      <c r="H20" s="361">
        <v>0</v>
      </c>
      <c r="I20" s="368">
        <v>0</v>
      </c>
      <c r="J20" s="83"/>
      <c r="K20" s="83"/>
      <c r="L20" s="83"/>
      <c r="M20" s="25"/>
    </row>
    <row r="21" spans="1:13" x14ac:dyDescent="0.25">
      <c r="A21" s="348">
        <v>2033</v>
      </c>
      <c r="B21" s="447">
        <v>0</v>
      </c>
      <c r="C21" s="447">
        <v>0</v>
      </c>
      <c r="D21" s="447">
        <v>0</v>
      </c>
      <c r="E21" s="447">
        <v>0</v>
      </c>
      <c r="F21" s="447">
        <v>0</v>
      </c>
      <c r="G21" s="358">
        <v>0</v>
      </c>
      <c r="H21" s="361">
        <v>0</v>
      </c>
      <c r="I21" s="368">
        <v>0</v>
      </c>
      <c r="J21" s="83"/>
      <c r="K21" s="83"/>
      <c r="L21" s="83"/>
      <c r="M21" s="25"/>
    </row>
    <row r="22" spans="1:13" x14ac:dyDescent="0.25">
      <c r="A22" s="348">
        <v>2034</v>
      </c>
      <c r="B22" s="447">
        <v>0</v>
      </c>
      <c r="C22" s="447">
        <v>0</v>
      </c>
      <c r="D22" s="447">
        <v>0</v>
      </c>
      <c r="E22" s="447">
        <v>0</v>
      </c>
      <c r="F22" s="447">
        <v>0</v>
      </c>
      <c r="G22" s="358">
        <v>0</v>
      </c>
      <c r="H22" s="361">
        <v>0</v>
      </c>
      <c r="I22" s="368">
        <v>0</v>
      </c>
      <c r="J22" s="83"/>
      <c r="K22" s="83"/>
      <c r="L22" s="83"/>
      <c r="M22" s="25"/>
    </row>
    <row r="23" spans="1:13" x14ac:dyDescent="0.25">
      <c r="A23" s="348">
        <v>2035</v>
      </c>
      <c r="B23" s="447">
        <v>0</v>
      </c>
      <c r="C23" s="447">
        <v>0</v>
      </c>
      <c r="D23" s="447">
        <v>0</v>
      </c>
      <c r="E23" s="447">
        <v>0</v>
      </c>
      <c r="F23" s="447">
        <v>0</v>
      </c>
      <c r="G23" s="358">
        <v>0</v>
      </c>
      <c r="H23" s="361">
        <v>0</v>
      </c>
      <c r="I23" s="368">
        <v>0</v>
      </c>
      <c r="J23" s="83"/>
      <c r="K23" s="83"/>
      <c r="L23" s="83"/>
      <c r="M23" s="25"/>
    </row>
    <row r="24" spans="1:13" x14ac:dyDescent="0.25">
      <c r="A24" s="348">
        <v>2036</v>
      </c>
      <c r="B24" s="447">
        <v>0</v>
      </c>
      <c r="C24" s="447">
        <v>0</v>
      </c>
      <c r="D24" s="447">
        <v>0</v>
      </c>
      <c r="E24" s="447">
        <v>0</v>
      </c>
      <c r="F24" s="447">
        <v>0</v>
      </c>
      <c r="G24" s="358">
        <v>0</v>
      </c>
      <c r="H24" s="361">
        <v>0</v>
      </c>
      <c r="I24" s="368">
        <v>0</v>
      </c>
      <c r="J24" s="83"/>
      <c r="K24" s="83"/>
      <c r="L24" s="83"/>
      <c r="M24" s="25"/>
    </row>
    <row r="25" spans="1:13" x14ac:dyDescent="0.25">
      <c r="A25" s="348">
        <v>2037</v>
      </c>
      <c r="B25" s="447">
        <v>0</v>
      </c>
      <c r="C25" s="447">
        <v>0</v>
      </c>
      <c r="D25" s="447">
        <v>0</v>
      </c>
      <c r="E25" s="447">
        <v>0</v>
      </c>
      <c r="F25" s="447">
        <v>0</v>
      </c>
      <c r="G25" s="358">
        <v>0</v>
      </c>
      <c r="H25" s="361">
        <v>0</v>
      </c>
      <c r="I25" s="368">
        <v>0</v>
      </c>
      <c r="J25" s="83"/>
      <c r="K25" s="83"/>
      <c r="L25" s="83"/>
      <c r="M25" s="25"/>
    </row>
    <row r="26" spans="1:13" x14ac:dyDescent="0.25">
      <c r="A26" s="348">
        <v>2038</v>
      </c>
      <c r="B26" s="447">
        <v>0</v>
      </c>
      <c r="C26" s="447">
        <v>0</v>
      </c>
      <c r="D26" s="447">
        <v>0</v>
      </c>
      <c r="E26" s="447">
        <v>0</v>
      </c>
      <c r="F26" s="447">
        <v>0</v>
      </c>
      <c r="G26" s="358">
        <v>0</v>
      </c>
      <c r="H26" s="361">
        <v>0</v>
      </c>
      <c r="I26" s="368">
        <v>0</v>
      </c>
      <c r="J26" s="83"/>
      <c r="K26" s="83"/>
      <c r="L26" s="83"/>
      <c r="M26" s="25"/>
    </row>
    <row r="27" spans="1:13" x14ac:dyDescent="0.25">
      <c r="A27" s="348">
        <v>2039</v>
      </c>
      <c r="B27" s="447">
        <v>0</v>
      </c>
      <c r="C27" s="447">
        <v>0</v>
      </c>
      <c r="D27" s="447">
        <v>0</v>
      </c>
      <c r="E27" s="447">
        <v>0</v>
      </c>
      <c r="F27" s="447">
        <v>0</v>
      </c>
      <c r="G27" s="358">
        <v>0</v>
      </c>
      <c r="H27" s="361">
        <v>0</v>
      </c>
      <c r="I27" s="368">
        <v>0</v>
      </c>
      <c r="J27" s="83"/>
      <c r="K27" s="83"/>
      <c r="L27" s="83"/>
      <c r="M27" s="25"/>
    </row>
    <row r="28" spans="1:13" x14ac:dyDescent="0.25">
      <c r="A28" s="348">
        <v>2040</v>
      </c>
      <c r="B28" s="447">
        <v>0</v>
      </c>
      <c r="C28" s="447">
        <v>0</v>
      </c>
      <c r="D28" s="447">
        <v>0</v>
      </c>
      <c r="E28" s="447">
        <v>0</v>
      </c>
      <c r="F28" s="447">
        <v>0</v>
      </c>
      <c r="G28" s="358">
        <v>0</v>
      </c>
      <c r="H28" s="361">
        <v>0</v>
      </c>
      <c r="I28" s="368">
        <v>0</v>
      </c>
      <c r="J28" s="83"/>
      <c r="K28" s="83"/>
      <c r="L28" s="83"/>
      <c r="M28" s="25"/>
    </row>
    <row r="29" spans="1:13" x14ac:dyDescent="0.25">
      <c r="A29" s="348">
        <v>2041</v>
      </c>
      <c r="B29" s="447">
        <v>0</v>
      </c>
      <c r="C29" s="447">
        <v>0</v>
      </c>
      <c r="D29" s="447">
        <v>0</v>
      </c>
      <c r="E29" s="447">
        <v>0</v>
      </c>
      <c r="F29" s="447">
        <v>0</v>
      </c>
      <c r="G29" s="358">
        <v>0</v>
      </c>
      <c r="H29" s="361">
        <v>0</v>
      </c>
      <c r="I29" s="368">
        <v>0</v>
      </c>
      <c r="J29" s="83"/>
      <c r="K29" s="83"/>
      <c r="L29" s="83"/>
      <c r="M29" s="25"/>
    </row>
    <row r="30" spans="1:13" x14ac:dyDescent="0.25">
      <c r="A30" s="348">
        <v>2042</v>
      </c>
      <c r="B30" s="447">
        <v>0</v>
      </c>
      <c r="C30" s="447">
        <v>879917.5</v>
      </c>
      <c r="D30" s="447">
        <v>0</v>
      </c>
      <c r="E30" s="447">
        <v>0</v>
      </c>
      <c r="F30" s="447">
        <v>0</v>
      </c>
      <c r="G30" s="358">
        <v>0</v>
      </c>
      <c r="H30" s="361">
        <v>879917.5</v>
      </c>
      <c r="I30" s="368">
        <v>212511.59150324514</v>
      </c>
      <c r="J30" s="83" t="s">
        <v>202</v>
      </c>
      <c r="K30" s="83"/>
      <c r="L30" s="83"/>
      <c r="M30" s="25"/>
    </row>
    <row r="31" spans="1:13" x14ac:dyDescent="0.25">
      <c r="A31" s="348">
        <v>2043</v>
      </c>
      <c r="B31" s="447">
        <v>0</v>
      </c>
      <c r="C31" s="447">
        <v>959910</v>
      </c>
      <c r="D31" s="447">
        <v>1125208.9655172413</v>
      </c>
      <c r="E31" s="447">
        <v>90700.689655172406</v>
      </c>
      <c r="F31" s="447">
        <v>0</v>
      </c>
      <c r="G31" s="358">
        <v>0</v>
      </c>
      <c r="H31" s="361">
        <v>2175819.6551724137</v>
      </c>
      <c r="I31" s="368">
        <v>491111.14122846606</v>
      </c>
      <c r="J31" s="83"/>
      <c r="K31" s="83"/>
      <c r="L31" s="83"/>
      <c r="M31" s="25"/>
    </row>
    <row r="32" spans="1:13" x14ac:dyDescent="0.25">
      <c r="A32" s="348">
        <v>2044</v>
      </c>
      <c r="B32" s="447">
        <v>0</v>
      </c>
      <c r="C32" s="447">
        <v>79992.5</v>
      </c>
      <c r="D32" s="447">
        <v>1227500.6896551724</v>
      </c>
      <c r="E32" s="447">
        <v>98946.20689655171</v>
      </c>
      <c r="F32" s="447">
        <v>0</v>
      </c>
      <c r="G32" s="358">
        <v>0</v>
      </c>
      <c r="H32" s="361">
        <v>1406439.3965517241</v>
      </c>
      <c r="I32" s="368">
        <v>296684.00731650705</v>
      </c>
      <c r="J32" s="83"/>
      <c r="K32" s="83"/>
      <c r="L32" s="83"/>
      <c r="M32" s="25"/>
    </row>
    <row r="33" spans="1:13" x14ac:dyDescent="0.25">
      <c r="A33" s="348">
        <v>2045</v>
      </c>
      <c r="B33" s="447">
        <v>0</v>
      </c>
      <c r="C33" s="447">
        <v>0</v>
      </c>
      <c r="D33" s="447">
        <v>613750.3448275862</v>
      </c>
      <c r="E33" s="447">
        <v>49473.103448275855</v>
      </c>
      <c r="F33" s="447">
        <v>0</v>
      </c>
      <c r="G33" s="358">
        <v>0</v>
      </c>
      <c r="H33" s="361">
        <v>663223.44827586203</v>
      </c>
      <c r="I33" s="368">
        <v>130752.26109837157</v>
      </c>
      <c r="J33" s="83"/>
      <c r="K33" s="83"/>
      <c r="L33" s="83"/>
      <c r="M33" s="25"/>
    </row>
    <row r="34" spans="1:13" x14ac:dyDescent="0.25">
      <c r="A34" s="348">
        <v>2046</v>
      </c>
      <c r="B34" s="447">
        <v>0</v>
      </c>
      <c r="C34" s="447">
        <v>0</v>
      </c>
      <c r="D34" s="447">
        <v>0</v>
      </c>
      <c r="E34" s="447">
        <v>0</v>
      </c>
      <c r="F34" s="447">
        <v>23619698.666666668</v>
      </c>
      <c r="G34" s="358">
        <v>0</v>
      </c>
      <c r="H34" s="361">
        <v>23619698.666666668</v>
      </c>
      <c r="I34" s="368">
        <v>4351910.0526564727</v>
      </c>
      <c r="J34" s="83"/>
      <c r="K34" s="83"/>
      <c r="L34" s="83"/>
      <c r="M34" s="25"/>
    </row>
    <row r="35" spans="1:13" x14ac:dyDescent="0.25">
      <c r="A35" s="348">
        <v>2047</v>
      </c>
      <c r="B35" s="447">
        <v>0</v>
      </c>
      <c r="C35" s="447">
        <v>0</v>
      </c>
      <c r="D35" s="447">
        <v>0</v>
      </c>
      <c r="E35" s="447">
        <v>0</v>
      </c>
      <c r="F35" s="447">
        <v>8588981.333333334</v>
      </c>
      <c r="G35" s="358">
        <v>0</v>
      </c>
      <c r="H35" s="361">
        <v>8588981.333333334</v>
      </c>
      <c r="I35" s="368">
        <v>1478983.8751593791</v>
      </c>
      <c r="J35" s="83"/>
      <c r="K35" s="83"/>
      <c r="L35" s="83"/>
      <c r="M35" s="25"/>
    </row>
    <row r="36" spans="1:13" x14ac:dyDescent="0.25">
      <c r="A36" s="348">
        <v>2048</v>
      </c>
      <c r="B36" s="447">
        <v>0</v>
      </c>
      <c r="C36" s="447">
        <v>0</v>
      </c>
      <c r="D36" s="447">
        <v>0</v>
      </c>
      <c r="E36" s="447">
        <v>0</v>
      </c>
      <c r="F36" s="447">
        <v>0</v>
      </c>
      <c r="G36" s="358">
        <v>0</v>
      </c>
      <c r="H36" s="361">
        <v>0</v>
      </c>
      <c r="I36" s="368">
        <v>0</v>
      </c>
      <c r="J36" s="83"/>
      <c r="K36" s="83"/>
      <c r="L36" s="83"/>
      <c r="M36" s="25"/>
    </row>
    <row r="37" spans="1:13" x14ac:dyDescent="0.25">
      <c r="A37" s="348">
        <v>2049</v>
      </c>
      <c r="B37" s="447">
        <v>0</v>
      </c>
      <c r="C37" s="447">
        <v>0</v>
      </c>
      <c r="D37" s="447">
        <v>0</v>
      </c>
      <c r="E37" s="447">
        <v>0</v>
      </c>
      <c r="F37" s="447">
        <v>0</v>
      </c>
      <c r="G37" s="358">
        <v>0</v>
      </c>
      <c r="H37" s="361">
        <v>0</v>
      </c>
      <c r="I37" s="368">
        <v>0</v>
      </c>
      <c r="J37" s="83"/>
      <c r="K37" s="83"/>
      <c r="L37" s="83"/>
      <c r="M37" s="25"/>
    </row>
    <row r="38" spans="1:13" x14ac:dyDescent="0.25">
      <c r="A38" s="348">
        <v>2050</v>
      </c>
      <c r="B38" s="447">
        <v>0</v>
      </c>
      <c r="C38" s="447">
        <v>0</v>
      </c>
      <c r="D38" s="447">
        <v>0</v>
      </c>
      <c r="E38" s="447">
        <v>0</v>
      </c>
      <c r="F38" s="447">
        <v>0</v>
      </c>
      <c r="G38" s="358">
        <v>0</v>
      </c>
      <c r="H38" s="361">
        <v>0</v>
      </c>
      <c r="I38" s="368">
        <v>0</v>
      </c>
      <c r="J38" s="83"/>
      <c r="K38" s="83"/>
      <c r="L38" s="83"/>
      <c r="M38" s="25"/>
    </row>
    <row r="39" spans="1:13" x14ac:dyDescent="0.25">
      <c r="A39" s="348">
        <v>2051</v>
      </c>
      <c r="B39" s="447">
        <v>0</v>
      </c>
      <c r="C39" s="447">
        <v>0</v>
      </c>
      <c r="D39" s="447">
        <v>0</v>
      </c>
      <c r="E39" s="447">
        <v>0</v>
      </c>
      <c r="F39" s="447">
        <v>0</v>
      </c>
      <c r="G39" s="358">
        <v>0</v>
      </c>
      <c r="H39" s="361">
        <v>0</v>
      </c>
      <c r="I39" s="368">
        <v>0</v>
      </c>
      <c r="J39" s="83"/>
      <c r="K39" s="83"/>
      <c r="L39" s="83"/>
      <c r="M39" s="25"/>
    </row>
    <row r="40" spans="1:13" x14ac:dyDescent="0.25">
      <c r="A40" s="348">
        <v>2052</v>
      </c>
      <c r="B40" s="447">
        <v>0</v>
      </c>
      <c r="C40" s="447">
        <v>0</v>
      </c>
      <c r="D40" s="447">
        <v>0</v>
      </c>
      <c r="E40" s="447">
        <v>0</v>
      </c>
      <c r="F40" s="447">
        <v>0</v>
      </c>
      <c r="G40" s="358">
        <v>0</v>
      </c>
      <c r="H40" s="361">
        <v>0</v>
      </c>
      <c r="I40" s="368">
        <v>0</v>
      </c>
      <c r="J40" s="83"/>
      <c r="K40" s="83"/>
      <c r="L40" s="83"/>
      <c r="M40" s="25"/>
    </row>
    <row r="41" spans="1:13" x14ac:dyDescent="0.25">
      <c r="A41" s="348">
        <v>2053</v>
      </c>
      <c r="B41" s="447">
        <v>0</v>
      </c>
      <c r="C41" s="447">
        <v>0</v>
      </c>
      <c r="D41" s="447">
        <v>0</v>
      </c>
      <c r="E41" s="447">
        <v>0</v>
      </c>
      <c r="F41" s="447">
        <v>0</v>
      </c>
      <c r="G41" s="358">
        <v>0</v>
      </c>
      <c r="H41" s="361">
        <v>0</v>
      </c>
      <c r="I41" s="368">
        <v>0</v>
      </c>
      <c r="J41" s="83"/>
      <c r="K41" s="83"/>
      <c r="L41" s="83"/>
      <c r="M41" s="25"/>
    </row>
    <row r="42" spans="1:13" x14ac:dyDescent="0.25">
      <c r="A42" s="348">
        <v>2054</v>
      </c>
      <c r="B42" s="447">
        <v>0</v>
      </c>
      <c r="C42" s="447">
        <v>0</v>
      </c>
      <c r="D42" s="447">
        <v>0</v>
      </c>
      <c r="E42" s="447">
        <v>0</v>
      </c>
      <c r="F42" s="447">
        <v>0</v>
      </c>
      <c r="G42" s="358">
        <v>0</v>
      </c>
      <c r="H42" s="361">
        <v>0</v>
      </c>
      <c r="I42" s="368">
        <v>0</v>
      </c>
      <c r="J42" s="83"/>
      <c r="K42" s="83"/>
      <c r="L42" s="83"/>
      <c r="M42" s="25"/>
    </row>
    <row r="43" spans="1:13" x14ac:dyDescent="0.25">
      <c r="A43" s="348">
        <v>2055</v>
      </c>
      <c r="B43" s="447">
        <v>0</v>
      </c>
      <c r="C43" s="447">
        <v>0</v>
      </c>
      <c r="D43" s="447">
        <v>0</v>
      </c>
      <c r="E43" s="447">
        <v>0</v>
      </c>
      <c r="F43" s="447">
        <v>0</v>
      </c>
      <c r="G43" s="358">
        <v>0</v>
      </c>
      <c r="H43" s="361">
        <v>0</v>
      </c>
      <c r="I43" s="368">
        <v>0</v>
      </c>
      <c r="J43" s="83"/>
      <c r="K43" s="83"/>
      <c r="L43" s="83"/>
      <c r="M43" s="25"/>
    </row>
    <row r="44" spans="1:13" x14ac:dyDescent="0.25">
      <c r="A44" s="348">
        <v>2056</v>
      </c>
      <c r="B44" s="447">
        <v>0</v>
      </c>
      <c r="C44" s="447">
        <v>0</v>
      </c>
      <c r="D44" s="447">
        <v>0</v>
      </c>
      <c r="E44" s="447">
        <v>0</v>
      </c>
      <c r="F44" s="447">
        <v>0</v>
      </c>
      <c r="G44" s="358">
        <v>0</v>
      </c>
      <c r="H44" s="361">
        <v>0</v>
      </c>
      <c r="I44" s="368">
        <v>0</v>
      </c>
      <c r="J44" s="83"/>
      <c r="K44" s="83"/>
      <c r="L44" s="83"/>
      <c r="M44" s="25"/>
    </row>
    <row r="45" spans="1:13" x14ac:dyDescent="0.25">
      <c r="A45" s="455">
        <v>2057</v>
      </c>
      <c r="B45" s="456">
        <v>0</v>
      </c>
      <c r="C45" s="456">
        <v>0</v>
      </c>
      <c r="D45" s="456">
        <v>0</v>
      </c>
      <c r="E45" s="456">
        <v>0</v>
      </c>
      <c r="F45" s="456">
        <v>0</v>
      </c>
      <c r="G45" s="457">
        <v>0</v>
      </c>
      <c r="H45" s="361">
        <v>0</v>
      </c>
      <c r="I45" s="459">
        <v>0</v>
      </c>
      <c r="J45" s="83"/>
      <c r="K45" s="83"/>
      <c r="L45" s="83"/>
      <c r="M45" s="25"/>
    </row>
    <row r="46" spans="1:13" ht="15.75" thickBot="1" x14ac:dyDescent="0.3">
      <c r="A46" s="349" t="s">
        <v>18</v>
      </c>
      <c r="B46" s="355">
        <v>0</v>
      </c>
      <c r="C46" s="469">
        <v>3839640</v>
      </c>
      <c r="D46" s="469">
        <v>5932920</v>
      </c>
      <c r="E46" s="469">
        <v>478240</v>
      </c>
      <c r="F46" s="469">
        <v>64417360.000000007</v>
      </c>
      <c r="G46" s="469">
        <v>0</v>
      </c>
      <c r="H46" s="469">
        <v>74668160</v>
      </c>
      <c r="I46" s="369">
        <v>33902514.006728545</v>
      </c>
      <c r="J46" s="83"/>
      <c r="K46" s="83"/>
      <c r="L46" s="83"/>
      <c r="M46" s="25"/>
    </row>
    <row r="47" spans="1:13" x14ac:dyDescent="0.25">
      <c r="A47" s="90" t="s">
        <v>21</v>
      </c>
      <c r="B47" s="28"/>
      <c r="C47" s="28"/>
      <c r="D47" s="28"/>
      <c r="E47" s="461"/>
      <c r="F47" s="28"/>
      <c r="G47" s="28"/>
      <c r="H47" s="28"/>
    </row>
    <row r="48" spans="1:13" x14ac:dyDescent="0.25">
      <c r="A48" s="80"/>
      <c r="E48" s="470"/>
      <c r="F48" s="463"/>
      <c r="G48" s="463"/>
      <c r="H48" s="463"/>
    </row>
    <row r="49" spans="1:8" x14ac:dyDescent="0.25">
      <c r="B49" s="28"/>
      <c r="C49" s="28"/>
      <c r="D49" s="28"/>
      <c r="E49" s="461"/>
      <c r="F49" s="28"/>
      <c r="G49" s="28"/>
      <c r="H49" s="28"/>
    </row>
    <row r="50" spans="1:8" ht="15.75" thickBot="1" x14ac:dyDescent="0.3">
      <c r="A50" s="18" t="s">
        <v>7</v>
      </c>
    </row>
    <row r="51" spans="1:8" x14ac:dyDescent="0.25">
      <c r="A51" s="471" t="s">
        <v>13</v>
      </c>
      <c r="B51" s="84"/>
      <c r="C51" s="84"/>
      <c r="D51" s="84">
        <v>20</v>
      </c>
    </row>
    <row r="52" spans="1:8" x14ac:dyDescent="0.25">
      <c r="A52" s="472" t="s">
        <v>14</v>
      </c>
      <c r="B52" s="85"/>
      <c r="C52" s="85"/>
      <c r="D52" s="85">
        <v>10</v>
      </c>
      <c r="E52" s="519" t="s">
        <v>203</v>
      </c>
    </row>
    <row r="53" spans="1:8" x14ac:dyDescent="0.25">
      <c r="A53" s="472" t="s">
        <v>167</v>
      </c>
      <c r="B53" s="473"/>
      <c r="C53" s="473"/>
      <c r="D53" s="473">
        <v>37334080</v>
      </c>
      <c r="E53" s="83" t="s">
        <v>202</v>
      </c>
    </row>
    <row r="54" spans="1:8" x14ac:dyDescent="0.25">
      <c r="A54" s="472" t="s">
        <v>191</v>
      </c>
      <c r="B54" s="87"/>
      <c r="C54" s="87"/>
      <c r="D54" s="87">
        <v>18667040</v>
      </c>
    </row>
    <row r="55" spans="1:8" ht="30.75" thickBot="1" x14ac:dyDescent="0.3">
      <c r="A55" s="75" t="s">
        <v>168</v>
      </c>
      <c r="B55" s="89"/>
      <c r="C55" s="89"/>
      <c r="D55" s="89">
        <v>9489376.5702504627</v>
      </c>
    </row>
    <row r="56" spans="1:8" x14ac:dyDescent="0.25">
      <c r="B56" s="28"/>
      <c r="C56" s="28"/>
      <c r="D56" s="28"/>
      <c r="E56" s="461"/>
      <c r="F56" s="28"/>
      <c r="G56" s="28"/>
      <c r="H56" s="28"/>
    </row>
    <row r="57" spans="1:8" x14ac:dyDescent="0.25">
      <c r="A57" s="16"/>
      <c r="B57" s="28"/>
      <c r="C57" s="28"/>
      <c r="D57" s="28"/>
      <c r="E57" s="461"/>
      <c r="F57" s="462"/>
      <c r="G57" s="462"/>
      <c r="H57" s="28"/>
    </row>
    <row r="58" spans="1:8" x14ac:dyDescent="0.25">
      <c r="B58" s="28"/>
      <c r="C58" s="28"/>
      <c r="D58" s="28"/>
      <c r="E58" s="461"/>
    </row>
    <row r="59" spans="1:8" x14ac:dyDescent="0.25">
      <c r="B59" s="28"/>
      <c r="C59" s="28"/>
      <c r="D59" s="28"/>
      <c r="E59" s="461"/>
    </row>
    <row r="60" spans="1:8" x14ac:dyDescent="0.25">
      <c r="A60" s="1"/>
      <c r="B60" s="29"/>
      <c r="C60" s="29"/>
      <c r="D60" s="29"/>
    </row>
    <row r="61" spans="1:8" x14ac:dyDescent="0.25">
      <c r="B61" s="28"/>
      <c r="C61" s="28"/>
      <c r="D61" s="28"/>
      <c r="E61" s="461"/>
    </row>
    <row r="62" spans="1:8" x14ac:dyDescent="0.25">
      <c r="B62" s="30"/>
      <c r="C62" s="30"/>
      <c r="D62" s="30"/>
      <c r="F62" s="31"/>
      <c r="G62" s="31"/>
    </row>
    <row r="63" spans="1:8" x14ac:dyDescent="0.25">
      <c r="B63" s="30"/>
      <c r="C63" s="30"/>
      <c r="D63" s="30"/>
      <c r="F63" s="32"/>
      <c r="G63" s="32"/>
      <c r="H63" s="520"/>
    </row>
    <row r="64" spans="1:8" x14ac:dyDescent="0.25">
      <c r="B64" s="30"/>
      <c r="C64" s="30"/>
      <c r="D64" s="30"/>
      <c r="F64" s="31"/>
      <c r="G64" s="31"/>
    </row>
    <row r="65" spans="1:8" x14ac:dyDescent="0.25">
      <c r="B65" s="30"/>
      <c r="C65" s="30"/>
      <c r="D65" s="30"/>
      <c r="F65" s="31"/>
      <c r="G65" s="31"/>
    </row>
    <row r="66" spans="1:8" x14ac:dyDescent="0.25">
      <c r="B66" s="30"/>
      <c r="C66" s="30"/>
      <c r="D66" s="30"/>
      <c r="F66" s="28"/>
      <c r="G66" s="28"/>
    </row>
    <row r="67" spans="1:8" x14ac:dyDescent="0.25">
      <c r="B67" s="30"/>
      <c r="C67" s="30"/>
      <c r="D67" s="30"/>
      <c r="F67" s="28"/>
      <c r="G67" s="28"/>
    </row>
    <row r="68" spans="1:8" x14ac:dyDescent="0.25">
      <c r="B68" s="30"/>
      <c r="C68" s="30"/>
      <c r="D68" s="30"/>
      <c r="F68" s="28"/>
      <c r="G68" s="28"/>
    </row>
    <row r="69" spans="1:8" x14ac:dyDescent="0.25">
      <c r="B69" s="30"/>
      <c r="C69" s="30"/>
      <c r="D69" s="30"/>
      <c r="F69" s="33"/>
      <c r="G69" s="33"/>
    </row>
    <row r="70" spans="1:8" x14ac:dyDescent="0.25">
      <c r="B70" s="30"/>
      <c r="C70" s="30"/>
      <c r="D70" s="30"/>
      <c r="F70" s="33"/>
      <c r="G70" s="33"/>
    </row>
    <row r="71" spans="1:8" x14ac:dyDescent="0.25">
      <c r="E71" s="520"/>
    </row>
    <row r="72" spans="1:8" x14ac:dyDescent="0.25">
      <c r="A72" s="30"/>
      <c r="B72" s="34"/>
      <c r="C72" s="34"/>
      <c r="D72" s="34"/>
      <c r="E72" s="35"/>
      <c r="F72" s="34"/>
      <c r="G72" s="34"/>
    </row>
    <row r="73" spans="1:8" x14ac:dyDescent="0.25">
      <c r="A73" s="30"/>
      <c r="B73" s="34"/>
      <c r="C73" s="34"/>
      <c r="D73" s="34"/>
      <c r="E73" s="35"/>
      <c r="F73" s="34"/>
      <c r="G73" s="34"/>
    </row>
    <row r="74" spans="1:8" x14ac:dyDescent="0.25">
      <c r="A74" s="30"/>
      <c r="B74" s="34"/>
      <c r="C74" s="34"/>
      <c r="D74" s="34"/>
      <c r="E74" s="35"/>
      <c r="F74" s="34"/>
      <c r="G74" s="34"/>
    </row>
    <row r="75" spans="1:8" x14ac:dyDescent="0.25">
      <c r="A75" s="30"/>
      <c r="B75" s="34"/>
      <c r="C75" s="34"/>
      <c r="D75" s="34"/>
      <c r="E75" s="35"/>
      <c r="F75" s="34"/>
      <c r="G75" s="34"/>
    </row>
    <row r="76" spans="1:8" x14ac:dyDescent="0.25">
      <c r="A76" s="30"/>
      <c r="E76" s="520"/>
      <c r="F76" s="34"/>
      <c r="G76" s="34"/>
    </row>
    <row r="77" spans="1:8" x14ac:dyDescent="0.25">
      <c r="A77" s="30"/>
      <c r="B77" s="28"/>
      <c r="C77" s="28"/>
      <c r="D77" s="28"/>
    </row>
    <row r="78" spans="1:8" x14ac:dyDescent="0.25">
      <c r="A78" s="36"/>
    </row>
    <row r="79" spans="1:8" x14ac:dyDescent="0.25">
      <c r="A79" s="36"/>
    </row>
    <row r="80" spans="1:8" x14ac:dyDescent="0.25">
      <c r="A80" s="30"/>
      <c r="B80" s="38"/>
      <c r="C80" s="38"/>
      <c r="D80" s="38"/>
      <c r="E80" s="38"/>
      <c r="F80" s="38"/>
      <c r="G80" s="38"/>
      <c r="H80" s="38"/>
    </row>
    <row r="81" spans="1:8" x14ac:dyDescent="0.25">
      <c r="A81" s="30"/>
      <c r="B81" s="38"/>
      <c r="C81" s="38"/>
      <c r="D81" s="38"/>
      <c r="E81" s="38"/>
      <c r="F81" s="38"/>
      <c r="G81" s="38"/>
      <c r="H81" s="38"/>
    </row>
    <row r="82" spans="1:8" x14ac:dyDescent="0.25">
      <c r="A82" s="30"/>
      <c r="B82" s="37"/>
      <c r="C82" s="37"/>
      <c r="D82" s="37"/>
      <c r="E82" s="37"/>
      <c r="F82" s="37"/>
      <c r="G82" s="37"/>
      <c r="H82" s="37"/>
    </row>
    <row r="83" spans="1:8" x14ac:dyDescent="0.25">
      <c r="A83" s="30"/>
      <c r="B83" s="37"/>
      <c r="C83" s="37"/>
      <c r="D83" s="37"/>
      <c r="E83" s="37"/>
      <c r="F83" s="37"/>
      <c r="G83" s="37"/>
      <c r="H83" s="37"/>
    </row>
    <row r="84" spans="1:8" x14ac:dyDescent="0.25">
      <c r="A84" s="30"/>
      <c r="B84" s="37"/>
      <c r="C84" s="37"/>
      <c r="D84" s="37"/>
      <c r="E84" s="37"/>
      <c r="F84" s="37"/>
      <c r="G84" s="37"/>
      <c r="H84" s="37"/>
    </row>
    <row r="85" spans="1:8" x14ac:dyDescent="0.25">
      <c r="A85" s="30"/>
      <c r="B85" s="37"/>
      <c r="C85" s="37"/>
      <c r="D85" s="37"/>
      <c r="E85" s="37"/>
      <c r="F85" s="37"/>
      <c r="G85" s="37"/>
      <c r="H85" s="37"/>
    </row>
    <row r="86" spans="1:8" x14ac:dyDescent="0.25">
      <c r="A86" s="30"/>
      <c r="B86" s="37"/>
      <c r="C86" s="37"/>
      <c r="D86" s="37"/>
      <c r="E86" s="37"/>
      <c r="F86" s="37"/>
      <c r="G86" s="37"/>
      <c r="H86" s="37"/>
    </row>
    <row r="87" spans="1:8" x14ac:dyDescent="0.25">
      <c r="A87" s="30"/>
      <c r="B87" s="37"/>
      <c r="C87" s="37"/>
      <c r="D87" s="37"/>
      <c r="E87" s="37"/>
      <c r="F87" s="37"/>
      <c r="G87" s="37"/>
      <c r="H87" s="37"/>
    </row>
    <row r="88" spans="1:8" x14ac:dyDescent="0.25">
      <c r="A88" s="30"/>
      <c r="B88" s="37"/>
      <c r="C88" s="37"/>
      <c r="D88" s="37"/>
      <c r="E88" s="37"/>
      <c r="F88" s="37"/>
      <c r="G88" s="37"/>
      <c r="H88" s="37"/>
    </row>
    <row r="89" spans="1:8" x14ac:dyDescent="0.25">
      <c r="A89" s="30"/>
      <c r="B89" s="37"/>
      <c r="C89" s="37"/>
      <c r="D89" s="37"/>
      <c r="E89" s="37"/>
      <c r="F89" s="37"/>
      <c r="G89" s="37"/>
      <c r="H89" s="37"/>
    </row>
    <row r="90" spans="1:8" x14ac:dyDescent="0.25">
      <c r="A90" s="30"/>
      <c r="B90" s="37"/>
      <c r="C90" s="37"/>
      <c r="D90" s="37"/>
      <c r="E90" s="37"/>
      <c r="F90" s="37"/>
      <c r="G90" s="37"/>
      <c r="H90" s="37"/>
    </row>
    <row r="91" spans="1:8" x14ac:dyDescent="0.25">
      <c r="A91" s="30"/>
      <c r="B91" s="37"/>
      <c r="C91" s="37"/>
      <c r="D91" s="37"/>
      <c r="E91" s="37"/>
      <c r="F91" s="37"/>
      <c r="G91" s="37"/>
      <c r="H91" s="37"/>
    </row>
    <row r="92" spans="1:8" x14ac:dyDescent="0.25">
      <c r="A92" s="30"/>
      <c r="B92" s="37"/>
      <c r="C92" s="37"/>
      <c r="D92" s="37"/>
      <c r="E92" s="37"/>
      <c r="F92" s="37"/>
      <c r="G92" s="37"/>
      <c r="H92" s="37"/>
    </row>
    <row r="93" spans="1:8" x14ac:dyDescent="0.25">
      <c r="A93" s="30"/>
      <c r="B93" s="37"/>
      <c r="C93" s="37"/>
      <c r="D93" s="37"/>
      <c r="E93" s="37"/>
      <c r="F93" s="37"/>
      <c r="G93" s="37"/>
      <c r="H93" s="37"/>
    </row>
    <row r="94" spans="1:8" x14ac:dyDescent="0.25">
      <c r="A94" s="30"/>
      <c r="B94" s="37"/>
      <c r="C94" s="37"/>
      <c r="D94" s="37"/>
      <c r="E94" s="37"/>
      <c r="F94" s="37"/>
      <c r="G94" s="37"/>
      <c r="H94" s="37"/>
    </row>
  </sheetData>
  <pageMargins left="0.7" right="0.7" top="0.75" bottom="0.75" header="0.3" footer="0.3"/>
  <pageSetup orientation="portrait" r:id="rId1"/>
  <headerFooter>
    <oddHeader>&amp;CI-680 Highway Preservation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6206-CCE0-43DA-8A2E-52BB14BCCEB2}">
  <dimension ref="B1:P167"/>
  <sheetViews>
    <sheetView topLeftCell="A37" workbookViewId="0">
      <selection activeCell="M139" sqref="M139"/>
    </sheetView>
  </sheetViews>
  <sheetFormatPr defaultColWidth="8.85546875" defaultRowHeight="15" x14ac:dyDescent="0.25"/>
  <cols>
    <col min="1" max="1" width="5.140625" style="519" customWidth="1"/>
    <col min="2" max="2" width="42.7109375" style="519" bestFit="1" customWidth="1"/>
    <col min="3" max="4" width="12.140625" style="519" customWidth="1"/>
    <col min="5" max="5" width="15.5703125" style="519" customWidth="1"/>
    <col min="6" max="6" width="17.140625" style="519" customWidth="1"/>
    <col min="7" max="8" width="18.28515625" style="519" bestFit="1" customWidth="1"/>
    <col min="9" max="9" width="20.28515625" style="519" customWidth="1"/>
    <col min="10" max="10" width="15" style="519" customWidth="1"/>
    <col min="11" max="11" width="13.5703125" style="519" customWidth="1"/>
    <col min="12" max="12" width="17.28515625" style="519" bestFit="1" customWidth="1"/>
    <col min="13" max="13" width="20.140625" style="519" bestFit="1" customWidth="1"/>
    <col min="14" max="14" width="24.85546875" style="519" customWidth="1"/>
    <col min="15" max="15" width="19.7109375" style="519" customWidth="1"/>
    <col min="16" max="16" width="11.7109375" style="519" bestFit="1" customWidth="1"/>
    <col min="17" max="17" width="8.28515625" style="519" bestFit="1" customWidth="1"/>
    <col min="18" max="18" width="9.85546875" style="519" bestFit="1" customWidth="1"/>
    <col min="19" max="19" width="8.42578125" style="519" bestFit="1" customWidth="1"/>
    <col min="20" max="21" width="9.5703125" style="519" bestFit="1" customWidth="1"/>
    <col min="22" max="22" width="11" style="519" bestFit="1" customWidth="1"/>
    <col min="23" max="23" width="6" style="519" bestFit="1" customWidth="1"/>
    <col min="24" max="24" width="5.28515625" style="519" bestFit="1" customWidth="1"/>
    <col min="25" max="16384" width="8.85546875" style="519"/>
  </cols>
  <sheetData>
    <row r="1" spans="2:16" ht="18.75" x14ac:dyDescent="0.3">
      <c r="B1" s="518" t="s">
        <v>126</v>
      </c>
    </row>
    <row r="3" spans="2:16" ht="15.75" thickBot="1" x14ac:dyDescent="0.3">
      <c r="B3" s="18" t="s">
        <v>138</v>
      </c>
    </row>
    <row r="4" spans="2:16" x14ac:dyDescent="0.25">
      <c r="B4" s="574" t="s">
        <v>1</v>
      </c>
      <c r="C4" s="576" t="s">
        <v>2</v>
      </c>
      <c r="D4" s="584" t="s">
        <v>22</v>
      </c>
      <c r="E4" s="586" t="s">
        <v>47</v>
      </c>
      <c r="F4" s="580" t="s">
        <v>48</v>
      </c>
      <c r="G4" s="573"/>
      <c r="H4" s="567"/>
      <c r="I4" s="580" t="s">
        <v>49</v>
      </c>
      <c r="J4" s="573"/>
      <c r="K4" s="567"/>
      <c r="L4" s="566" t="s">
        <v>192</v>
      </c>
      <c r="M4" s="573"/>
      <c r="N4" s="567"/>
      <c r="O4" s="18"/>
    </row>
    <row r="5" spans="2:16" ht="15.75" thickBot="1" x14ac:dyDescent="0.3">
      <c r="B5" s="575"/>
      <c r="C5" s="577"/>
      <c r="D5" s="585"/>
      <c r="E5" s="587"/>
      <c r="F5" s="380" t="s">
        <v>35</v>
      </c>
      <c r="G5" s="381" t="s">
        <v>36</v>
      </c>
      <c r="H5" s="382" t="s">
        <v>37</v>
      </c>
      <c r="I5" s="380" t="s">
        <v>35</v>
      </c>
      <c r="J5" s="381" t="s">
        <v>36</v>
      </c>
      <c r="K5" s="382" t="s">
        <v>37</v>
      </c>
      <c r="L5" s="405" t="s">
        <v>35</v>
      </c>
      <c r="M5" s="381" t="s">
        <v>36</v>
      </c>
      <c r="N5" s="382" t="s">
        <v>37</v>
      </c>
      <c r="O5" s="474"/>
      <c r="P5" s="474"/>
    </row>
    <row r="6" spans="2:16" x14ac:dyDescent="0.25">
      <c r="B6" s="389">
        <f t="shared" ref="B6:B9" si="0">B7-1</f>
        <v>2022</v>
      </c>
      <c r="C6" s="384">
        <v>0</v>
      </c>
      <c r="D6" s="390">
        <v>1</v>
      </c>
      <c r="E6" s="421">
        <v>199444.76963682025</v>
      </c>
      <c r="F6" s="410">
        <v>205.756511490988</v>
      </c>
      <c r="G6" s="406">
        <v>72.994928222039235</v>
      </c>
      <c r="H6" s="411">
        <v>1.0774159147164466</v>
      </c>
      <c r="I6" s="431">
        <v>0</v>
      </c>
      <c r="J6" s="415">
        <v>0</v>
      </c>
      <c r="K6" s="414">
        <v>0</v>
      </c>
      <c r="L6" s="400">
        <v>0</v>
      </c>
      <c r="M6" s="388">
        <v>0</v>
      </c>
      <c r="N6" s="401">
        <v>0</v>
      </c>
      <c r="O6" s="474"/>
      <c r="P6" s="474"/>
    </row>
    <row r="7" spans="2:16" x14ac:dyDescent="0.25">
      <c r="B7" s="389">
        <f t="shared" si="0"/>
        <v>2023</v>
      </c>
      <c r="C7" s="384">
        <v>0</v>
      </c>
      <c r="D7" s="390">
        <v>2</v>
      </c>
      <c r="E7" s="421">
        <v>200441.99348500429</v>
      </c>
      <c r="F7" s="410">
        <v>206.78529404844292</v>
      </c>
      <c r="G7" s="406">
        <v>73.359902863149415</v>
      </c>
      <c r="H7" s="411">
        <v>1.0828029942900281</v>
      </c>
      <c r="I7" s="431">
        <v>0</v>
      </c>
      <c r="J7" s="415">
        <v>0</v>
      </c>
      <c r="K7" s="414">
        <v>0</v>
      </c>
      <c r="L7" s="400">
        <v>0</v>
      </c>
      <c r="M7" s="388">
        <v>0</v>
      </c>
      <c r="N7" s="401">
        <v>0</v>
      </c>
      <c r="O7" s="379"/>
      <c r="P7" s="379"/>
    </row>
    <row r="8" spans="2:16" x14ac:dyDescent="0.25">
      <c r="B8" s="389">
        <f t="shared" si="0"/>
        <v>2024</v>
      </c>
      <c r="C8" s="384">
        <v>0</v>
      </c>
      <c r="D8" s="390">
        <v>3</v>
      </c>
      <c r="E8" s="421">
        <v>201444.20345242927</v>
      </c>
      <c r="F8" s="410">
        <v>207.81922051868509</v>
      </c>
      <c r="G8" s="406">
        <v>73.726702377465145</v>
      </c>
      <c r="H8" s="411">
        <v>1.0882170092614782</v>
      </c>
      <c r="I8" s="431">
        <v>0</v>
      </c>
      <c r="J8" s="415">
        <v>0</v>
      </c>
      <c r="K8" s="414">
        <v>0</v>
      </c>
      <c r="L8" s="400">
        <v>0</v>
      </c>
      <c r="M8" s="388">
        <v>0</v>
      </c>
      <c r="N8" s="401">
        <v>0</v>
      </c>
      <c r="O8" s="379"/>
      <c r="P8" s="379"/>
    </row>
    <row r="9" spans="2:16" x14ac:dyDescent="0.25">
      <c r="B9" s="389">
        <f t="shared" si="0"/>
        <v>2025</v>
      </c>
      <c r="C9" s="384">
        <v>0</v>
      </c>
      <c r="D9" s="390">
        <v>4</v>
      </c>
      <c r="E9" s="421">
        <v>202451.42446969141</v>
      </c>
      <c r="F9" s="410">
        <v>208.85831662127853</v>
      </c>
      <c r="G9" s="406">
        <v>74.095335889352484</v>
      </c>
      <c r="H9" s="411">
        <v>1.0936580943077856</v>
      </c>
      <c r="I9" s="431">
        <v>0</v>
      </c>
      <c r="J9" s="415">
        <v>0</v>
      </c>
      <c r="K9" s="414">
        <v>0</v>
      </c>
      <c r="L9" s="400">
        <v>0</v>
      </c>
      <c r="M9" s="388">
        <v>0</v>
      </c>
      <c r="N9" s="401">
        <v>0</v>
      </c>
      <c r="O9" s="379"/>
      <c r="P9" s="379"/>
    </row>
    <row r="10" spans="2:16" x14ac:dyDescent="0.25">
      <c r="B10" s="389">
        <f>B11-1</f>
        <v>2026</v>
      </c>
      <c r="C10" s="384">
        <v>0</v>
      </c>
      <c r="D10" s="390">
        <v>5</v>
      </c>
      <c r="E10" s="421">
        <v>203463.68159203982</v>
      </c>
      <c r="F10" s="410">
        <v>209.90260820438485</v>
      </c>
      <c r="G10" s="406">
        <v>74.465812568799223</v>
      </c>
      <c r="H10" s="411">
        <v>1.0991263847793242</v>
      </c>
      <c r="I10" s="431">
        <v>0</v>
      </c>
      <c r="J10" s="415">
        <v>0</v>
      </c>
      <c r="K10" s="414">
        <v>0</v>
      </c>
      <c r="L10" s="400">
        <v>0</v>
      </c>
      <c r="M10" s="388">
        <v>0</v>
      </c>
      <c r="N10" s="401">
        <v>0</v>
      </c>
      <c r="O10" s="379"/>
      <c r="P10" s="379"/>
    </row>
    <row r="11" spans="2:16" x14ac:dyDescent="0.25">
      <c r="B11" s="391">
        <v>2027</v>
      </c>
      <c r="C11" s="385">
        <v>1</v>
      </c>
      <c r="D11" s="392">
        <v>6</v>
      </c>
      <c r="E11" s="422">
        <v>204481</v>
      </c>
      <c r="F11" s="425">
        <v>210.95212124540677</v>
      </c>
      <c r="G11" s="416">
        <v>74.838141631643225</v>
      </c>
      <c r="H11" s="426">
        <v>1.1046220167032208</v>
      </c>
      <c r="I11" s="425">
        <v>62.927784866127531</v>
      </c>
      <c r="J11" s="416">
        <v>22.324489787416006</v>
      </c>
      <c r="K11" s="432">
        <v>0.32951276438990412</v>
      </c>
      <c r="L11" s="412">
        <v>636829.18284521066</v>
      </c>
      <c r="M11" s="407">
        <v>9307427.06221487</v>
      </c>
      <c r="N11" s="408">
        <v>5828120.0892865602</v>
      </c>
      <c r="O11" s="379"/>
      <c r="P11" s="379"/>
    </row>
    <row r="12" spans="2:16" x14ac:dyDescent="0.25">
      <c r="B12" s="393">
        <f>B11+1</f>
        <v>2028</v>
      </c>
      <c r="C12" s="386">
        <v>2</v>
      </c>
      <c r="D12" s="394">
        <v>7</v>
      </c>
      <c r="E12" s="475">
        <v>205503.40499999997</v>
      </c>
      <c r="F12" s="427">
        <v>212.00688185163375</v>
      </c>
      <c r="G12" s="417">
        <v>75.212332339801421</v>
      </c>
      <c r="H12" s="428">
        <v>1.1101451267867366</v>
      </c>
      <c r="I12" s="427">
        <v>63.242423790458155</v>
      </c>
      <c r="J12" s="417">
        <v>22.436112236353082</v>
      </c>
      <c r="K12" s="476">
        <v>0.33116032821185354</v>
      </c>
      <c r="L12" s="404">
        <v>640013.3287594365</v>
      </c>
      <c r="M12" s="383">
        <v>9353964.1975259446</v>
      </c>
      <c r="N12" s="402">
        <v>5857260.6897329912</v>
      </c>
      <c r="O12" s="379"/>
      <c r="P12" s="379"/>
    </row>
    <row r="13" spans="2:16" x14ac:dyDescent="0.25">
      <c r="B13" s="395">
        <f t="shared" ref="B13:C28" si="1">B12+1</f>
        <v>2029</v>
      </c>
      <c r="C13" s="387">
        <v>3</v>
      </c>
      <c r="D13" s="396">
        <v>8</v>
      </c>
      <c r="E13" s="475">
        <v>206530.92202499995</v>
      </c>
      <c r="F13" s="427">
        <v>213.0669162608919</v>
      </c>
      <c r="G13" s="417">
        <v>75.588394001500419</v>
      </c>
      <c r="H13" s="428">
        <v>1.1156958524206702</v>
      </c>
      <c r="I13" s="427">
        <v>63.558635909410448</v>
      </c>
      <c r="J13" s="417">
        <v>22.548292797534845</v>
      </c>
      <c r="K13" s="476">
        <v>0.33281612985291281</v>
      </c>
      <c r="L13" s="404">
        <v>643213.39540323371</v>
      </c>
      <c r="M13" s="383">
        <v>9400734.0185135715</v>
      </c>
      <c r="N13" s="402">
        <v>5886546.9931816561</v>
      </c>
      <c r="O13" s="379"/>
      <c r="P13" s="379"/>
    </row>
    <row r="14" spans="2:16" x14ac:dyDescent="0.25">
      <c r="B14" s="393">
        <f t="shared" si="1"/>
        <v>2030</v>
      </c>
      <c r="C14" s="387">
        <v>4</v>
      </c>
      <c r="D14" s="396">
        <v>9</v>
      </c>
      <c r="E14" s="475">
        <v>207563.57663512492</v>
      </c>
      <c r="F14" s="427">
        <v>214.13225084219636</v>
      </c>
      <c r="G14" s="417">
        <v>75.966335971507903</v>
      </c>
      <c r="H14" s="428">
        <v>1.1212743316827736</v>
      </c>
      <c r="I14" s="427">
        <v>63.876429088957494</v>
      </c>
      <c r="J14" s="417">
        <v>22.661034261522513</v>
      </c>
      <c r="K14" s="476">
        <v>0.33448021050217741</v>
      </c>
      <c r="L14" s="404">
        <v>646429.46238024987</v>
      </c>
      <c r="M14" s="383">
        <v>9447737.6886061374</v>
      </c>
      <c r="N14" s="402">
        <v>5915979.7281475654</v>
      </c>
      <c r="O14" s="379"/>
      <c r="P14" s="379"/>
    </row>
    <row r="15" spans="2:16" x14ac:dyDescent="0.25">
      <c r="B15" s="395">
        <f t="shared" si="1"/>
        <v>2031</v>
      </c>
      <c r="C15" s="387">
        <v>5</v>
      </c>
      <c r="D15" s="396">
        <v>10</v>
      </c>
      <c r="E15" s="475">
        <v>208601.39451830048</v>
      </c>
      <c r="F15" s="427">
        <v>215.20291209640723</v>
      </c>
      <c r="G15" s="417">
        <v>76.346167651365434</v>
      </c>
      <c r="H15" s="428">
        <v>1.126880703341187</v>
      </c>
      <c r="I15" s="427">
        <v>64.195811234402257</v>
      </c>
      <c r="J15" s="417">
        <v>22.774339432830132</v>
      </c>
      <c r="K15" s="476">
        <v>0.33615261155468812</v>
      </c>
      <c r="L15" s="404">
        <v>649661.60969215084</v>
      </c>
      <c r="M15" s="383">
        <v>9494976.3770491704</v>
      </c>
      <c r="N15" s="402">
        <v>5945559.6267883005</v>
      </c>
      <c r="O15" s="379"/>
      <c r="P15" s="379"/>
    </row>
    <row r="16" spans="2:16" x14ac:dyDescent="0.25">
      <c r="B16" s="393">
        <f t="shared" si="1"/>
        <v>2032</v>
      </c>
      <c r="C16" s="387">
        <v>6</v>
      </c>
      <c r="D16" s="396">
        <v>11</v>
      </c>
      <c r="E16" s="475">
        <v>209644.40149089196</v>
      </c>
      <c r="F16" s="427">
        <v>216.2789266568893</v>
      </c>
      <c r="G16" s="417">
        <v>76.727898489622248</v>
      </c>
      <c r="H16" s="428">
        <v>1.1325151068578929</v>
      </c>
      <c r="I16" s="427">
        <v>64.516790290574264</v>
      </c>
      <c r="J16" s="417">
        <v>22.888211129994271</v>
      </c>
      <c r="K16" s="476">
        <v>0.3378333746124616</v>
      </c>
      <c r="L16" s="404">
        <v>652909.91774061159</v>
      </c>
      <c r="M16" s="383">
        <v>9542451.2589344122</v>
      </c>
      <c r="N16" s="402">
        <v>5975287.4249222418</v>
      </c>
      <c r="O16" s="379"/>
      <c r="P16" s="379"/>
    </row>
    <row r="17" spans="2:16" x14ac:dyDescent="0.25">
      <c r="B17" s="395">
        <f t="shared" si="1"/>
        <v>2033</v>
      </c>
      <c r="C17" s="387">
        <v>7</v>
      </c>
      <c r="D17" s="396">
        <v>12</v>
      </c>
      <c r="E17" s="475">
        <v>210692.62349834637</v>
      </c>
      <c r="F17" s="427">
        <v>217.36032129017363</v>
      </c>
      <c r="G17" s="417">
        <v>77.111537982070345</v>
      </c>
      <c r="H17" s="428">
        <v>1.1381776823921821</v>
      </c>
      <c r="I17" s="427">
        <v>64.83937424202712</v>
      </c>
      <c r="J17" s="417">
        <v>23.002652185644241</v>
      </c>
      <c r="K17" s="476">
        <v>0.3395225414855238</v>
      </c>
      <c r="L17" s="404">
        <v>656174.46732931444</v>
      </c>
      <c r="M17" s="383">
        <v>9590163.5152290817</v>
      </c>
      <c r="N17" s="402">
        <v>6005163.8620468518</v>
      </c>
      <c r="O17" s="379"/>
      <c r="P17" s="379"/>
    </row>
    <row r="18" spans="2:16" x14ac:dyDescent="0.25">
      <c r="B18" s="393">
        <f t="shared" si="1"/>
        <v>2034</v>
      </c>
      <c r="C18" s="387">
        <v>8</v>
      </c>
      <c r="D18" s="396">
        <v>13</v>
      </c>
      <c r="E18" s="475">
        <v>211746.08661583808</v>
      </c>
      <c r="F18" s="427">
        <v>218.44712289662451</v>
      </c>
      <c r="G18" s="417">
        <v>77.497095671980674</v>
      </c>
      <c r="H18" s="428">
        <v>1.1438685708041429</v>
      </c>
      <c r="I18" s="427">
        <v>65.163571113237225</v>
      </c>
      <c r="J18" s="417">
        <v>23.117665446572449</v>
      </c>
      <c r="K18" s="476">
        <v>0.34122015419295143</v>
      </c>
      <c r="L18" s="404">
        <v>659455.33966596075</v>
      </c>
      <c r="M18" s="383">
        <v>9638114.3328052219</v>
      </c>
      <c r="N18" s="402">
        <v>6035189.6813570857</v>
      </c>
      <c r="O18" s="379"/>
      <c r="P18" s="379"/>
    </row>
    <row r="19" spans="2:16" x14ac:dyDescent="0.25">
      <c r="B19" s="395">
        <f t="shared" si="1"/>
        <v>2035</v>
      </c>
      <c r="C19" s="387">
        <v>9</v>
      </c>
      <c r="D19" s="396">
        <v>14</v>
      </c>
      <c r="E19" s="475">
        <v>212804.81704891726</v>
      </c>
      <c r="F19" s="427">
        <v>219.53935851110762</v>
      </c>
      <c r="G19" s="417">
        <v>77.88458115034058</v>
      </c>
      <c r="H19" s="428">
        <v>1.1495879136581633</v>
      </c>
      <c r="I19" s="427">
        <v>65.489388968803425</v>
      </c>
      <c r="J19" s="417">
        <v>23.233253773805316</v>
      </c>
      <c r="K19" s="476">
        <v>0.34292625496391599</v>
      </c>
      <c r="L19" s="404">
        <v>662752.6163642907</v>
      </c>
      <c r="M19" s="383">
        <v>9686304.9044692516</v>
      </c>
      <c r="N19" s="402">
        <v>6065365.6297638677</v>
      </c>
      <c r="O19" s="379"/>
      <c r="P19" s="379"/>
    </row>
    <row r="20" spans="2:16" x14ac:dyDescent="0.25">
      <c r="B20" s="393">
        <f t="shared" si="1"/>
        <v>2036</v>
      </c>
      <c r="C20" s="387">
        <v>10</v>
      </c>
      <c r="D20" s="396">
        <v>15</v>
      </c>
      <c r="E20" s="475">
        <v>213868.84113416183</v>
      </c>
      <c r="F20" s="427">
        <v>220.63705530366315</v>
      </c>
      <c r="G20" s="417">
        <v>78.274004056092281</v>
      </c>
      <c r="H20" s="428">
        <v>1.1553358532264542</v>
      </c>
      <c r="I20" s="427">
        <v>65.816835913647466</v>
      </c>
      <c r="J20" s="417">
        <v>23.349420042674346</v>
      </c>
      <c r="K20" s="476">
        <v>0.34464088623873562</v>
      </c>
      <c r="L20" s="404">
        <v>666066.37944611232</v>
      </c>
      <c r="M20" s="383">
        <v>9734736.428991599</v>
      </c>
      <c r="N20" s="402">
        <v>6095692.4579126872</v>
      </c>
      <c r="O20" s="379"/>
      <c r="P20" s="379"/>
    </row>
    <row r="21" spans="2:16" x14ac:dyDescent="0.25">
      <c r="B21" s="395">
        <f t="shared" si="1"/>
        <v>2037</v>
      </c>
      <c r="C21" s="387">
        <v>11</v>
      </c>
      <c r="D21" s="396">
        <v>16</v>
      </c>
      <c r="E21" s="475">
        <v>214938.18533983262</v>
      </c>
      <c r="F21" s="427">
        <v>221.74024058018145</v>
      </c>
      <c r="G21" s="417">
        <v>78.665374076372743</v>
      </c>
      <c r="H21" s="428">
        <v>1.1611125324925864</v>
      </c>
      <c r="I21" s="427">
        <v>66.145920093215665</v>
      </c>
      <c r="J21" s="417">
        <v>23.466167142887716</v>
      </c>
      <c r="K21" s="476">
        <v>0.34636409066992929</v>
      </c>
      <c r="L21" s="404">
        <v>669396.71134334255</v>
      </c>
      <c r="M21" s="383">
        <v>9783410.1111365557</v>
      </c>
      <c r="N21" s="402">
        <v>6126170.9202022515</v>
      </c>
      <c r="O21" s="379"/>
      <c r="P21" s="379"/>
    </row>
    <row r="22" spans="2:16" x14ac:dyDescent="0.25">
      <c r="B22" s="393">
        <f t="shared" si="1"/>
        <v>2038</v>
      </c>
      <c r="C22" s="387">
        <v>12</v>
      </c>
      <c r="D22" s="396">
        <v>17</v>
      </c>
      <c r="E22" s="475">
        <v>216012.87626653176</v>
      </c>
      <c r="F22" s="427">
        <v>222.8489417830823</v>
      </c>
      <c r="G22" s="417">
        <v>79.058700946754584</v>
      </c>
      <c r="H22" s="428">
        <v>1.1669180951550493</v>
      </c>
      <c r="I22" s="427">
        <v>66.476649693681736</v>
      </c>
      <c r="J22" s="417">
        <v>23.583497978602146</v>
      </c>
      <c r="K22" s="476">
        <v>0.34809591112327898</v>
      </c>
      <c r="L22" s="404">
        <v>672743.69490005926</v>
      </c>
      <c r="M22" s="383">
        <v>9832327.1616922356</v>
      </c>
      <c r="N22" s="402">
        <v>6156801.7748032631</v>
      </c>
      <c r="O22" s="379"/>
      <c r="P22" s="379"/>
    </row>
    <row r="23" spans="2:16" x14ac:dyDescent="0.25">
      <c r="B23" s="395">
        <f t="shared" si="1"/>
        <v>2039</v>
      </c>
      <c r="C23" s="387">
        <v>13</v>
      </c>
      <c r="D23" s="396">
        <v>18</v>
      </c>
      <c r="E23" s="475">
        <v>217092.94064786434</v>
      </c>
      <c r="F23" s="427">
        <v>223.96318649199762</v>
      </c>
      <c r="G23" s="417">
        <v>79.453994451488313</v>
      </c>
      <c r="H23" s="428">
        <v>1.1727526856308239</v>
      </c>
      <c r="I23" s="427">
        <v>66.809032942150111</v>
      </c>
      <c r="J23" s="417">
        <v>23.701415468495146</v>
      </c>
      <c r="K23" s="476">
        <v>0.3498363906788951</v>
      </c>
      <c r="L23" s="404">
        <v>676107.41337455926</v>
      </c>
      <c r="M23" s="383">
        <v>9881488.7975006923</v>
      </c>
      <c r="N23" s="402">
        <v>6187585.7836772744</v>
      </c>
      <c r="O23" s="379"/>
      <c r="P23" s="379"/>
    </row>
    <row r="24" spans="2:16" x14ac:dyDescent="0.25">
      <c r="B24" s="393">
        <f t="shared" si="1"/>
        <v>2040</v>
      </c>
      <c r="C24" s="387">
        <v>14</v>
      </c>
      <c r="D24" s="396">
        <v>19</v>
      </c>
      <c r="E24" s="475">
        <v>218178.40535110363</v>
      </c>
      <c r="F24" s="427">
        <v>225.08300242445762</v>
      </c>
      <c r="G24" s="417">
        <v>79.851264423745761</v>
      </c>
      <c r="H24" s="428">
        <v>1.1786164490589781</v>
      </c>
      <c r="I24" s="427">
        <v>67.143078106860855</v>
      </c>
      <c r="J24" s="417">
        <v>23.81992254583762</v>
      </c>
      <c r="K24" s="476">
        <v>0.35158557263228973</v>
      </c>
      <c r="L24" s="404">
        <v>679487.95044143195</v>
      </c>
      <c r="M24" s="383">
        <v>9930896.241488196</v>
      </c>
      <c r="N24" s="402">
        <v>6218523.712595664</v>
      </c>
      <c r="O24" s="379"/>
      <c r="P24" s="379"/>
    </row>
    <row r="25" spans="2:16" x14ac:dyDescent="0.25">
      <c r="B25" s="395">
        <f t="shared" si="1"/>
        <v>2041</v>
      </c>
      <c r="C25" s="387">
        <v>15</v>
      </c>
      <c r="D25" s="396">
        <v>20</v>
      </c>
      <c r="E25" s="475">
        <v>219269.29737785913</v>
      </c>
      <c r="F25" s="427">
        <v>226.20841743657988</v>
      </c>
      <c r="G25" s="417">
        <v>80.250520745864463</v>
      </c>
      <c r="H25" s="428">
        <v>1.1845095313042728</v>
      </c>
      <c r="I25" s="427">
        <v>67.478793497395159</v>
      </c>
      <c r="J25" s="417">
        <v>23.939022158566804</v>
      </c>
      <c r="K25" s="476">
        <v>0.35334350049545099</v>
      </c>
      <c r="L25" s="404">
        <v>682885.39019363909</v>
      </c>
      <c r="M25" s="383">
        <v>9980550.7226956338</v>
      </c>
      <c r="N25" s="402">
        <v>6249616.3311586399</v>
      </c>
      <c r="O25" s="379"/>
      <c r="P25" s="379"/>
    </row>
    <row r="26" spans="2:16" x14ac:dyDescent="0.25">
      <c r="B26" s="393">
        <f t="shared" si="1"/>
        <v>2042</v>
      </c>
      <c r="C26" s="387">
        <v>16</v>
      </c>
      <c r="D26" s="396">
        <v>21</v>
      </c>
      <c r="E26" s="475">
        <v>220365.64386474836</v>
      </c>
      <c r="F26" s="427">
        <v>227.33945952376271</v>
      </c>
      <c r="G26" s="417">
        <v>80.651773349593768</v>
      </c>
      <c r="H26" s="428">
        <v>1.1904320789607938</v>
      </c>
      <c r="I26" s="427">
        <v>67.816187464882134</v>
      </c>
      <c r="J26" s="417">
        <v>24.058717269359629</v>
      </c>
      <c r="K26" s="476">
        <v>0.35511021799792825</v>
      </c>
      <c r="L26" s="404">
        <v>686299.81714460719</v>
      </c>
      <c r="M26" s="383">
        <v>10030453.476309108</v>
      </c>
      <c r="N26" s="402">
        <v>6280864.4128144318</v>
      </c>
      <c r="O26" s="379"/>
      <c r="P26" s="379"/>
    </row>
    <row r="27" spans="2:16" x14ac:dyDescent="0.25">
      <c r="B27" s="395">
        <f t="shared" si="1"/>
        <v>2043</v>
      </c>
      <c r="C27" s="387">
        <v>17</v>
      </c>
      <c r="D27" s="396">
        <v>22</v>
      </c>
      <c r="E27" s="475">
        <v>221467.47208407207</v>
      </c>
      <c r="F27" s="427">
        <v>228.47615682138152</v>
      </c>
      <c r="G27" s="417">
        <v>81.055032216341743</v>
      </c>
      <c r="H27" s="428">
        <v>1.1963842393555977</v>
      </c>
      <c r="I27" s="427">
        <v>68.155268402206531</v>
      </c>
      <c r="J27" s="417">
        <v>24.179010855706434</v>
      </c>
      <c r="K27" s="476">
        <v>0.35688576908791786</v>
      </c>
      <c r="L27" s="404">
        <v>689731.31623033015</v>
      </c>
      <c r="M27" s="383">
        <v>10080605.743690656</v>
      </c>
      <c r="N27" s="402">
        <v>6312268.7348785046</v>
      </c>
      <c r="O27" s="379"/>
      <c r="P27" s="379"/>
    </row>
    <row r="28" spans="2:16" x14ac:dyDescent="0.25">
      <c r="B28" s="393">
        <f t="shared" si="1"/>
        <v>2044</v>
      </c>
      <c r="C28" s="387">
        <v>18</v>
      </c>
      <c r="D28" s="396">
        <v>23</v>
      </c>
      <c r="E28" s="475">
        <v>222574.80944449245</v>
      </c>
      <c r="F28" s="427">
        <v>229.61853760548843</v>
      </c>
      <c r="G28" s="417">
        <v>81.460307377423462</v>
      </c>
      <c r="H28" s="428">
        <v>1.2023661605523757</v>
      </c>
      <c r="I28" s="427">
        <v>68.496044744217556</v>
      </c>
      <c r="J28" s="417">
        <v>24.299905909984972</v>
      </c>
      <c r="K28" s="476">
        <v>0.35867019793335747</v>
      </c>
      <c r="L28" s="404">
        <v>693179.97281148168</v>
      </c>
      <c r="M28" s="383">
        <v>10131008.772409113</v>
      </c>
      <c r="N28" s="402">
        <v>6343830.0785528971</v>
      </c>
      <c r="O28" s="379"/>
      <c r="P28" s="379"/>
    </row>
    <row r="29" spans="2:16" x14ac:dyDescent="0.25">
      <c r="B29" s="395">
        <f t="shared" ref="B29:C41" si="2">B28+1</f>
        <v>2045</v>
      </c>
      <c r="C29" s="387">
        <v>19</v>
      </c>
      <c r="D29" s="396">
        <v>24</v>
      </c>
      <c r="E29" s="475">
        <v>223687.68349171482</v>
      </c>
      <c r="F29" s="427">
        <v>230.76663029351576</v>
      </c>
      <c r="G29" s="417">
        <v>81.867608914310551</v>
      </c>
      <c r="H29" s="428">
        <v>1.2083779913551369</v>
      </c>
      <c r="I29" s="427">
        <v>68.838524967938639</v>
      </c>
      <c r="J29" s="417">
        <v>24.421405439534883</v>
      </c>
      <c r="K29" s="476">
        <v>0.36046354892302401</v>
      </c>
      <c r="L29" s="404">
        <v>696645.87267553911</v>
      </c>
      <c r="M29" s="383">
        <v>10181663.816271152</v>
      </c>
      <c r="N29" s="402">
        <v>6375549.2289456567</v>
      </c>
      <c r="O29" s="379"/>
      <c r="P29" s="379"/>
    </row>
    <row r="30" spans="2:16" x14ac:dyDescent="0.25">
      <c r="B30" s="393">
        <f t="shared" si="2"/>
        <v>2046</v>
      </c>
      <c r="C30" s="387">
        <v>20</v>
      </c>
      <c r="D30" s="396">
        <v>25</v>
      </c>
      <c r="E30" s="475">
        <v>224806.12190917338</v>
      </c>
      <c r="F30" s="427">
        <v>231.92046344498331</v>
      </c>
      <c r="G30" s="417">
        <v>82.276946958882078</v>
      </c>
      <c r="H30" s="428">
        <v>1.2144198813119125</v>
      </c>
      <c r="I30" s="427">
        <v>69.182717592778303</v>
      </c>
      <c r="J30" s="417">
        <v>24.543512466732551</v>
      </c>
      <c r="K30" s="476">
        <v>0.3622658666676391</v>
      </c>
      <c r="L30" s="404">
        <v>700129.10203891655</v>
      </c>
      <c r="M30" s="383">
        <v>10232572.135352505</v>
      </c>
      <c r="N30" s="402">
        <v>6407426.9750903845</v>
      </c>
      <c r="O30" s="379"/>
      <c r="P30" s="379"/>
    </row>
    <row r="31" spans="2:16" x14ac:dyDescent="0.25">
      <c r="B31" s="391">
        <f t="shared" si="2"/>
        <v>2047</v>
      </c>
      <c r="C31" s="385">
        <v>21</v>
      </c>
      <c r="D31" s="392">
        <v>26</v>
      </c>
      <c r="E31" s="422">
        <v>225930.15251871923</v>
      </c>
      <c r="F31" s="425">
        <v>233.08006576220825</v>
      </c>
      <c r="G31" s="416">
        <v>82.688331693676503</v>
      </c>
      <c r="H31" s="426">
        <v>1.2204919807184722</v>
      </c>
      <c r="I31" s="425">
        <v>69.528631180742195</v>
      </c>
      <c r="J31" s="416">
        <v>24.666230029066217</v>
      </c>
      <c r="K31" s="432">
        <v>0.36407719600097743</v>
      </c>
      <c r="L31" s="412">
        <v>703629.74754911102</v>
      </c>
      <c r="M31" s="407">
        <v>10283734.996029269</v>
      </c>
      <c r="N31" s="408">
        <v>6439464.1099658394</v>
      </c>
      <c r="O31" s="379"/>
      <c r="P31" s="379"/>
    </row>
    <row r="32" spans="2:16" x14ac:dyDescent="0.25">
      <c r="B32" s="393">
        <f t="shared" si="2"/>
        <v>2048</v>
      </c>
      <c r="C32" s="387">
        <v>22</v>
      </c>
      <c r="D32" s="396">
        <v>27</v>
      </c>
      <c r="E32" s="475">
        <v>227059.80328131275</v>
      </c>
      <c r="F32" s="427">
        <v>234.24546609101918</v>
      </c>
      <c r="G32" s="417">
        <v>83.101773352144832</v>
      </c>
      <c r="H32" s="428">
        <v>1.2265944406220641</v>
      </c>
      <c r="I32" s="427">
        <v>69.876274336645878</v>
      </c>
      <c r="J32" s="417">
        <v>24.789561179211539</v>
      </c>
      <c r="K32" s="476">
        <v>0.36589758198098221</v>
      </c>
      <c r="L32" s="404">
        <v>707147.89628685638</v>
      </c>
      <c r="M32" s="383">
        <v>10335153.671009412</v>
      </c>
      <c r="N32" s="402">
        <v>6471661.4305156665</v>
      </c>
      <c r="O32" s="379"/>
      <c r="P32" s="379"/>
    </row>
    <row r="33" spans="2:16" x14ac:dyDescent="0.25">
      <c r="B33" s="395">
        <f t="shared" si="2"/>
        <v>2049</v>
      </c>
      <c r="C33" s="387">
        <v>23</v>
      </c>
      <c r="D33" s="396">
        <v>28</v>
      </c>
      <c r="E33" s="475">
        <v>228195.10229771928</v>
      </c>
      <c r="F33" s="427">
        <v>235.41669342147424</v>
      </c>
      <c r="G33" s="417">
        <v>83.517282218905549</v>
      </c>
      <c r="H33" s="428">
        <v>1.2327274128251744</v>
      </c>
      <c r="I33" s="427">
        <v>70.225655708329114</v>
      </c>
      <c r="J33" s="417">
        <v>24.913508985107587</v>
      </c>
      <c r="K33" s="476">
        <v>0.36772706989088694</v>
      </c>
      <c r="L33" s="404">
        <v>710683.63576829061</v>
      </c>
      <c r="M33" s="383">
        <v>10386829.439364454</v>
      </c>
      <c r="N33" s="402">
        <v>6504019.7376682414</v>
      </c>
      <c r="O33" s="379"/>
      <c r="P33" s="379"/>
    </row>
    <row r="34" spans="2:16" x14ac:dyDescent="0.25">
      <c r="B34" s="393">
        <f t="shared" si="2"/>
        <v>2050</v>
      </c>
      <c r="C34" s="387">
        <v>24</v>
      </c>
      <c r="D34" s="396">
        <v>29</v>
      </c>
      <c r="E34" s="475">
        <v>229336.07780920784</v>
      </c>
      <c r="F34" s="427">
        <v>236.59377688858157</v>
      </c>
      <c r="G34" s="417">
        <v>83.934868630000068</v>
      </c>
      <c r="H34" s="428">
        <v>1.2388910498892998</v>
      </c>
      <c r="I34" s="427">
        <v>70.576783986870737</v>
      </c>
      <c r="J34" s="417">
        <v>25.038076530033123</v>
      </c>
      <c r="K34" s="476">
        <v>0.36956570524034132</v>
      </c>
      <c r="L34" s="404">
        <v>714237.05394713185</v>
      </c>
      <c r="M34" s="383">
        <v>10438763.586561276</v>
      </c>
      <c r="N34" s="402">
        <v>6536539.8363565812</v>
      </c>
      <c r="O34" s="379"/>
      <c r="P34" s="379"/>
    </row>
    <row r="35" spans="2:16" x14ac:dyDescent="0.25">
      <c r="B35" s="395">
        <f t="shared" si="2"/>
        <v>2051</v>
      </c>
      <c r="C35" s="387">
        <v>25</v>
      </c>
      <c r="D35" s="396">
        <v>30</v>
      </c>
      <c r="E35" s="475">
        <v>230482.7581982539</v>
      </c>
      <c r="F35" s="427">
        <v>237.77674577302452</v>
      </c>
      <c r="G35" s="417">
        <v>84.354542973150075</v>
      </c>
      <c r="H35" s="428">
        <v>1.2450855051387464</v>
      </c>
      <c r="I35" s="427">
        <v>70.929667906805079</v>
      </c>
      <c r="J35" s="417">
        <v>25.163266912683287</v>
      </c>
      <c r="K35" s="476">
        <v>0.3714135337665429</v>
      </c>
      <c r="L35" s="404">
        <v>717808.23921686749</v>
      </c>
      <c r="M35" s="383">
        <v>10490957.404494081</v>
      </c>
      <c r="N35" s="402">
        <v>6569222.5355383633</v>
      </c>
      <c r="O35" s="379"/>
      <c r="P35" s="379"/>
    </row>
    <row r="36" spans="2:16" x14ac:dyDescent="0.25">
      <c r="B36" s="393">
        <f t="shared" si="2"/>
        <v>2052</v>
      </c>
      <c r="C36" s="387">
        <v>26</v>
      </c>
      <c r="D36" s="396">
        <v>31</v>
      </c>
      <c r="E36" s="475">
        <v>231635.17198924511</v>
      </c>
      <c r="F36" s="427">
        <v>238.96562950188957</v>
      </c>
      <c r="G36" s="417">
        <v>84.776315688015799</v>
      </c>
      <c r="H36" s="428">
        <v>1.2513109326644398</v>
      </c>
      <c r="I36" s="427">
        <v>71.284316246339088</v>
      </c>
      <c r="J36" s="417">
        <v>25.289083247246701</v>
      </c>
      <c r="K36" s="476">
        <v>0.37327060143537566</v>
      </c>
      <c r="L36" s="404">
        <v>721397.28041295172</v>
      </c>
      <c r="M36" s="383">
        <v>10543412.191516552</v>
      </c>
      <c r="N36" s="402">
        <v>6602068.6482160548</v>
      </c>
      <c r="O36" s="379"/>
      <c r="P36" s="379"/>
    </row>
    <row r="37" spans="2:16" x14ac:dyDescent="0.25">
      <c r="B37" s="395">
        <f t="shared" si="2"/>
        <v>2053</v>
      </c>
      <c r="C37" s="387">
        <v>27</v>
      </c>
      <c r="D37" s="396">
        <v>32</v>
      </c>
      <c r="E37" s="475">
        <v>232793.34784919131</v>
      </c>
      <c r="F37" s="427">
        <v>240.16045764939901</v>
      </c>
      <c r="G37" s="417">
        <v>85.200197266455874</v>
      </c>
      <c r="H37" s="428">
        <v>1.2575674873277618</v>
      </c>
      <c r="I37" s="427">
        <v>71.640737827570788</v>
      </c>
      <c r="J37" s="417">
        <v>25.415528663482938</v>
      </c>
      <c r="K37" s="476">
        <v>0.37513695444255246</v>
      </c>
      <c r="L37" s="404">
        <v>725004.26681501651</v>
      </c>
      <c r="M37" s="383">
        <v>10596129.252474135</v>
      </c>
      <c r="N37" s="402">
        <v>6635078.9914571345</v>
      </c>
      <c r="O37" s="379"/>
      <c r="P37" s="379"/>
    </row>
    <row r="38" spans="2:16" x14ac:dyDescent="0.25">
      <c r="B38" s="393">
        <f t="shared" si="2"/>
        <v>2054</v>
      </c>
      <c r="C38" s="387">
        <v>28</v>
      </c>
      <c r="D38" s="396">
        <v>33</v>
      </c>
      <c r="E38" s="475">
        <v>233957.31458843724</v>
      </c>
      <c r="F38" s="427">
        <v>241.36125993764594</v>
      </c>
      <c r="G38" s="417">
        <v>85.626198252788143</v>
      </c>
      <c r="H38" s="428">
        <v>1.2638553247644004</v>
      </c>
      <c r="I38" s="427">
        <v>71.998941516708626</v>
      </c>
      <c r="J38" s="417">
        <v>25.542606306800341</v>
      </c>
      <c r="K38" s="476">
        <v>0.37701263921476513</v>
      </c>
      <c r="L38" s="404">
        <v>728629.2881490913</v>
      </c>
      <c r="M38" s="383">
        <v>10649109.898736501</v>
      </c>
      <c r="N38" s="402">
        <v>6668254.3864144171</v>
      </c>
      <c r="O38" s="379"/>
      <c r="P38" s="379"/>
    </row>
    <row r="39" spans="2:16" x14ac:dyDescent="0.25">
      <c r="B39" s="395">
        <f t="shared" si="2"/>
        <v>2055</v>
      </c>
      <c r="C39" s="387">
        <v>29</v>
      </c>
      <c r="D39" s="396">
        <v>34</v>
      </c>
      <c r="E39" s="475">
        <v>235127.10116137937</v>
      </c>
      <c r="F39" s="427">
        <v>242.56806623733414</v>
      </c>
      <c r="G39" s="417">
        <v>86.05432924405207</v>
      </c>
      <c r="H39" s="428">
        <v>1.2701746013882222</v>
      </c>
      <c r="I39" s="427">
        <v>72.358936224292179</v>
      </c>
      <c r="J39" s="417">
        <v>25.670319338334334</v>
      </c>
      <c r="K39" s="476">
        <v>0.37889770241083898</v>
      </c>
      <c r="L39" s="404">
        <v>732272.43458983686</v>
      </c>
      <c r="M39" s="383">
        <v>10702355.448230181</v>
      </c>
      <c r="N39" s="402">
        <v>6701595.65834649</v>
      </c>
      <c r="O39" s="379"/>
      <c r="P39" s="379"/>
    </row>
    <row r="40" spans="2:16" x14ac:dyDescent="0.25">
      <c r="B40" s="393">
        <f t="shared" si="2"/>
        <v>2056</v>
      </c>
      <c r="C40" s="387">
        <v>30</v>
      </c>
      <c r="D40" s="396">
        <v>35</v>
      </c>
      <c r="E40" s="475">
        <v>236302.73666718623</v>
      </c>
      <c r="F40" s="427">
        <v>243.78090656852078</v>
      </c>
      <c r="G40" s="417">
        <v>86.484600890272318</v>
      </c>
      <c r="H40" s="428">
        <v>1.2765254743951631</v>
      </c>
      <c r="I40" s="427">
        <v>72.720730905413632</v>
      </c>
      <c r="J40" s="417">
        <v>25.798670935026013</v>
      </c>
      <c r="K40" s="476">
        <v>0.38079219092289307</v>
      </c>
      <c r="L40" s="404">
        <v>735933.79676278611</v>
      </c>
      <c r="M40" s="383">
        <v>10755867.225471335</v>
      </c>
      <c r="N40" s="402">
        <v>6735103.6366382204</v>
      </c>
      <c r="O40" s="379"/>
      <c r="P40" s="379"/>
    </row>
    <row r="41" spans="2:16" ht="15.75" thickBot="1" x14ac:dyDescent="0.3">
      <c r="B41" s="397">
        <f t="shared" si="2"/>
        <v>2057</v>
      </c>
      <c r="C41" s="398">
        <v>31</v>
      </c>
      <c r="D41" s="399">
        <v>36</v>
      </c>
      <c r="E41" s="477">
        <v>237484.25035052214</v>
      </c>
      <c r="F41" s="429">
        <v>244.99981110136332</v>
      </c>
      <c r="G41" s="419">
        <v>86.91702389472367</v>
      </c>
      <c r="H41" s="430">
        <v>1.2829081017671391</v>
      </c>
      <c r="I41" s="429">
        <v>73.084334559940658</v>
      </c>
      <c r="J41" s="419">
        <v>25.927664289701138</v>
      </c>
      <c r="K41" s="478">
        <v>0.38269615187750755</v>
      </c>
      <c r="L41" s="413">
        <v>739613.46574659948</v>
      </c>
      <c r="M41" s="409">
        <v>10809646.561598688</v>
      </c>
      <c r="N41" s="403">
        <v>6768779.1548214126</v>
      </c>
      <c r="O41" s="379"/>
      <c r="P41" s="379"/>
    </row>
    <row r="42" spans="2:16" ht="15.75" thickBot="1" x14ac:dyDescent="0.3">
      <c r="F42" s="306">
        <v>7887.9032216856758</v>
      </c>
      <c r="G42" s="306">
        <v>2798.3412302096526</v>
      </c>
      <c r="H42" s="306">
        <v>41.303929597190447</v>
      </c>
      <c r="I42" s="306">
        <v>2104.3942733226295</v>
      </c>
      <c r="J42" s="306">
        <v>746.56256474674865</v>
      </c>
      <c r="K42" s="306">
        <v>11.019373649398498</v>
      </c>
      <c r="L42" s="479">
        <v>21296470.046025023</v>
      </c>
      <c r="M42" s="479">
        <v>311253546.43837094</v>
      </c>
      <c r="N42" s="479">
        <v>194900592.26179728</v>
      </c>
      <c r="O42" s="25"/>
      <c r="P42" s="25"/>
    </row>
    <row r="43" spans="2:16" x14ac:dyDescent="0.25">
      <c r="F43" s="306"/>
      <c r="G43" s="306"/>
      <c r="H43" s="306"/>
      <c r="I43" s="306">
        <v>5783.5089483630463</v>
      </c>
      <c r="J43" s="306">
        <v>2051.778665462904</v>
      </c>
      <c r="K43" s="306">
        <v>30.284555947791951</v>
      </c>
      <c r="L43" s="61"/>
      <c r="M43" s="61"/>
      <c r="N43" s="61"/>
      <c r="O43" s="25"/>
      <c r="P43" s="25"/>
    </row>
    <row r="44" spans="2:16" hidden="1" x14ac:dyDescent="0.25">
      <c r="B44" s="18" t="s">
        <v>139</v>
      </c>
      <c r="I44" s="60"/>
    </row>
    <row r="45" spans="2:16" ht="15" hidden="1" customHeight="1" x14ac:dyDescent="0.25">
      <c r="B45" s="574" t="s">
        <v>1</v>
      </c>
      <c r="C45" s="576" t="s">
        <v>2</v>
      </c>
      <c r="D45" s="576" t="s">
        <v>22</v>
      </c>
      <c r="E45" s="578" t="s">
        <v>47</v>
      </c>
      <c r="F45" s="580" t="s">
        <v>48</v>
      </c>
      <c r="G45" s="573"/>
      <c r="H45" s="567"/>
      <c r="I45" s="580" t="s">
        <v>50</v>
      </c>
      <c r="J45" s="573"/>
      <c r="K45" s="567"/>
      <c r="L45" s="566" t="s">
        <v>136</v>
      </c>
      <c r="M45" s="573"/>
      <c r="N45" s="567"/>
      <c r="O45" s="18"/>
      <c r="P45" s="18"/>
    </row>
    <row r="46" spans="2:16" ht="15.75" hidden="1" thickBot="1" x14ac:dyDescent="0.3">
      <c r="B46" s="575"/>
      <c r="C46" s="577"/>
      <c r="D46" s="577"/>
      <c r="E46" s="579"/>
      <c r="F46" s="380" t="s">
        <v>35</v>
      </c>
      <c r="G46" s="381" t="s">
        <v>36</v>
      </c>
      <c r="H46" s="382" t="s">
        <v>37</v>
      </c>
      <c r="I46" s="380" t="s">
        <v>35</v>
      </c>
      <c r="J46" s="381" t="s">
        <v>36</v>
      </c>
      <c r="K46" s="382" t="s">
        <v>37</v>
      </c>
      <c r="L46" s="405" t="s">
        <v>35</v>
      </c>
      <c r="M46" s="381" t="s">
        <v>36</v>
      </c>
      <c r="N46" s="382" t="s">
        <v>37</v>
      </c>
      <c r="O46" s="474"/>
      <c r="P46" s="474"/>
    </row>
    <row r="47" spans="2:16" hidden="1" x14ac:dyDescent="0.25">
      <c r="B47" s="101">
        <v>2021</v>
      </c>
      <c r="C47" s="102">
        <v>0</v>
      </c>
      <c r="D47" s="138">
        <v>1</v>
      </c>
      <c r="E47" s="163" t="e">
        <f t="shared" ref="E47:E52" si="3">$E$53*(1+0.005)^(B47-$B$53)</f>
        <v>#REF!</v>
      </c>
      <c r="F47" s="167" t="e">
        <f>ROUND(((#REF!*$E47*365*#REF!)/1000000),1)</f>
        <v>#REF!</v>
      </c>
      <c r="G47" s="168" t="e">
        <f>ROUND(((#REF!*$E47*365*#REF!)/1000000),1)</f>
        <v>#REF!</v>
      </c>
      <c r="H47" s="169" t="e">
        <f>ROUND(((#REF!*$E47*365*#REF!)/1000000),1)</f>
        <v>#REF!</v>
      </c>
      <c r="I47" s="171" t="e">
        <f>ROUND((F47*0.3*0.59)/2,0)</f>
        <v>#REF!</v>
      </c>
      <c r="J47" s="168">
        <v>0</v>
      </c>
      <c r="K47" s="169" t="e">
        <f t="shared" ref="K47:K52" si="4">ROUND(H47*0.3*0.59,0)</f>
        <v>#REF!</v>
      </c>
      <c r="L47" s="438" t="e">
        <f>I47*#REF!*#REF!</f>
        <v>#REF!</v>
      </c>
      <c r="M47" s="437" t="e">
        <f>J47*#REF!*#REF!</f>
        <v>#REF!</v>
      </c>
      <c r="N47" s="170" t="e">
        <f>K47*#REF!*#REF!</f>
        <v>#REF!</v>
      </c>
      <c r="O47" s="53"/>
      <c r="P47" s="53"/>
    </row>
    <row r="48" spans="2:16" hidden="1" x14ac:dyDescent="0.25">
      <c r="B48" s="389">
        <v>2022</v>
      </c>
      <c r="C48" s="384">
        <v>0</v>
      </c>
      <c r="D48" s="139">
        <v>2</v>
      </c>
      <c r="E48" s="421" t="e">
        <f t="shared" si="3"/>
        <v>#REF!</v>
      </c>
      <c r="F48" s="431" t="e">
        <f>ROUND(((#REF!*$E48*365*#REF!)/1000000),1)</f>
        <v>#REF!</v>
      </c>
      <c r="G48" s="415" t="e">
        <f>ROUND(((#REF!*$E48*365*#REF!)/1000000),1)</f>
        <v>#REF!</v>
      </c>
      <c r="H48" s="414" t="e">
        <f>ROUND(((#REF!*$E48*365*#REF!)/1000000),1)</f>
        <v>#REF!</v>
      </c>
      <c r="I48" s="132" t="e">
        <f t="shared" ref="I48:I49" si="5">ROUND((F48*0.3*0.59)/2,0)</f>
        <v>#REF!</v>
      </c>
      <c r="J48" s="415">
        <v>0</v>
      </c>
      <c r="K48" s="414" t="e">
        <f t="shared" si="4"/>
        <v>#REF!</v>
      </c>
      <c r="L48" s="149" t="e">
        <f>I48*#REF!*#REF!</f>
        <v>#REF!</v>
      </c>
      <c r="M48" s="144" t="e">
        <f>J48*#REF!*#REF!</f>
        <v>#REF!</v>
      </c>
      <c r="N48" s="161" t="e">
        <f>K48*#REF!*#REF!</f>
        <v>#REF!</v>
      </c>
      <c r="O48" s="53"/>
      <c r="P48" s="53"/>
    </row>
    <row r="49" spans="2:16" hidden="1" x14ac:dyDescent="0.25">
      <c r="B49" s="389">
        <v>2023</v>
      </c>
      <c r="C49" s="384">
        <v>0</v>
      </c>
      <c r="D49" s="139">
        <v>3</v>
      </c>
      <c r="E49" s="421" t="e">
        <f t="shared" si="3"/>
        <v>#REF!</v>
      </c>
      <c r="F49" s="431" t="e">
        <f>ROUND(((#REF!*$E49*365*#REF!)/1000000),1)</f>
        <v>#REF!</v>
      </c>
      <c r="G49" s="415" t="e">
        <f>ROUND(((#REF!*$E49*365*#REF!)/1000000),1)</f>
        <v>#REF!</v>
      </c>
      <c r="H49" s="414" t="e">
        <f>ROUND(((#REF!*$E49*365*#REF!)/1000000),1)</f>
        <v>#REF!</v>
      </c>
      <c r="I49" s="132" t="e">
        <f t="shared" si="5"/>
        <v>#REF!</v>
      </c>
      <c r="J49" s="415">
        <v>0</v>
      </c>
      <c r="K49" s="414" t="e">
        <f t="shared" si="4"/>
        <v>#REF!</v>
      </c>
      <c r="L49" s="149" t="e">
        <f>I49*#REF!*#REF!</f>
        <v>#REF!</v>
      </c>
      <c r="M49" s="144" t="e">
        <f>J49*#REF!*#REF!</f>
        <v>#REF!</v>
      </c>
      <c r="N49" s="161" t="e">
        <f>K49*#REF!*#REF!</f>
        <v>#REF!</v>
      </c>
      <c r="O49" s="53"/>
      <c r="P49" s="53"/>
    </row>
    <row r="50" spans="2:16" hidden="1" x14ac:dyDescent="0.25">
      <c r="B50" s="389">
        <v>2024</v>
      </c>
      <c r="C50" s="384">
        <v>0</v>
      </c>
      <c r="D50" s="139">
        <v>4</v>
      </c>
      <c r="E50" s="421" t="e">
        <f t="shared" si="3"/>
        <v>#REF!</v>
      </c>
      <c r="F50" s="431" t="e">
        <f>ROUND(((#REF!*$E50*365*#REF!)/1000000),1)</f>
        <v>#REF!</v>
      </c>
      <c r="G50" s="415" t="e">
        <f>ROUND(((#REF!*$E50*365*#REF!)/1000000),1)</f>
        <v>#REF!</v>
      </c>
      <c r="H50" s="414" t="e">
        <f>ROUND(((#REF!*$E50*365*#REF!)/1000000),1)</f>
        <v>#REF!</v>
      </c>
      <c r="I50" s="132" t="e">
        <f t="shared" ref="I50:I52" si="6">ROUND(F50*0.3*0.59,0)</f>
        <v>#REF!</v>
      </c>
      <c r="J50" s="415">
        <v>0</v>
      </c>
      <c r="K50" s="414" t="e">
        <f t="shared" si="4"/>
        <v>#REF!</v>
      </c>
      <c r="L50" s="149" t="e">
        <f>I50*#REF!*#REF!</f>
        <v>#REF!</v>
      </c>
      <c r="M50" s="144" t="e">
        <f>J50*#REF!*#REF!</f>
        <v>#REF!</v>
      </c>
      <c r="N50" s="161" t="e">
        <f>K50*#REF!*#REF!</f>
        <v>#REF!</v>
      </c>
      <c r="O50" s="53"/>
      <c r="P50" s="53"/>
    </row>
    <row r="51" spans="2:16" hidden="1" x14ac:dyDescent="0.25">
      <c r="B51" s="389">
        <v>2025</v>
      </c>
      <c r="C51" s="384">
        <v>0</v>
      </c>
      <c r="D51" s="139">
        <v>5</v>
      </c>
      <c r="E51" s="421" t="e">
        <f t="shared" si="3"/>
        <v>#REF!</v>
      </c>
      <c r="F51" s="431" t="e">
        <f>ROUND(((#REF!*$E51*365*#REF!)/1000000),1)</f>
        <v>#REF!</v>
      </c>
      <c r="G51" s="415" t="e">
        <f>ROUND(((#REF!*$E51*365*#REF!)/1000000),1)</f>
        <v>#REF!</v>
      </c>
      <c r="H51" s="414" t="e">
        <f>ROUND(((#REF!*$E51*365*#REF!)/1000000),1)</f>
        <v>#REF!</v>
      </c>
      <c r="I51" s="132" t="e">
        <f t="shared" si="6"/>
        <v>#REF!</v>
      </c>
      <c r="J51" s="415">
        <v>0</v>
      </c>
      <c r="K51" s="414" t="e">
        <f t="shared" si="4"/>
        <v>#REF!</v>
      </c>
      <c r="L51" s="149" t="e">
        <f>I51*#REF!*#REF!</f>
        <v>#REF!</v>
      </c>
      <c r="M51" s="144" t="e">
        <f>J51*#REF!*#REF!</f>
        <v>#REF!</v>
      </c>
      <c r="N51" s="161" t="e">
        <f>K51*#REF!*#REF!</f>
        <v>#REF!</v>
      </c>
      <c r="O51" s="53"/>
      <c r="P51" s="53"/>
    </row>
    <row r="52" spans="2:16" hidden="1" x14ac:dyDescent="0.25">
      <c r="B52" s="389">
        <v>2026</v>
      </c>
      <c r="C52" s="384">
        <v>0</v>
      </c>
      <c r="D52" s="139">
        <v>6</v>
      </c>
      <c r="E52" s="421" t="e">
        <f t="shared" si="3"/>
        <v>#REF!</v>
      </c>
      <c r="F52" s="431" t="e">
        <f>ROUND(((#REF!*$E52*365*#REF!)/1000000),1)</f>
        <v>#REF!</v>
      </c>
      <c r="G52" s="415" t="e">
        <f>ROUND(((#REF!*$E52*365*#REF!)/1000000),1)</f>
        <v>#REF!</v>
      </c>
      <c r="H52" s="414" t="e">
        <f>ROUND(((#REF!*$E52*365*#REF!)/1000000),1)</f>
        <v>#REF!</v>
      </c>
      <c r="I52" s="132" t="e">
        <f t="shared" si="6"/>
        <v>#REF!</v>
      </c>
      <c r="J52" s="415">
        <v>0</v>
      </c>
      <c r="K52" s="414" t="e">
        <f t="shared" si="4"/>
        <v>#REF!</v>
      </c>
      <c r="L52" s="149" t="e">
        <f>I52*#REF!*#REF!</f>
        <v>#REF!</v>
      </c>
      <c r="M52" s="144" t="e">
        <f>J52*#REF!*#REF!</f>
        <v>#REF!</v>
      </c>
      <c r="N52" s="161" t="e">
        <f>K52*#REF!*#REF!</f>
        <v>#REF!</v>
      </c>
      <c r="O52" s="53"/>
      <c r="P52" s="53"/>
    </row>
    <row r="53" spans="2:16" hidden="1" x14ac:dyDescent="0.25">
      <c r="B53" s="391">
        <v>2027</v>
      </c>
      <c r="C53" s="385">
        <v>1</v>
      </c>
      <c r="D53" s="140">
        <v>7</v>
      </c>
      <c r="E53" s="422" t="e">
        <f>#REF!</f>
        <v>#REF!</v>
      </c>
      <c r="F53" s="172" t="e">
        <f>ROUND(((#REF!*$E53*365*#REF!)/1000000),1)</f>
        <v>#REF!</v>
      </c>
      <c r="G53" s="69" t="e">
        <f>ROUND(((#REF!*$E53*365*#REF!)/1000000),1)</f>
        <v>#REF!</v>
      </c>
      <c r="H53" s="71" t="e">
        <f>ROUND(((#REF!*$E53*365*#REF!)/1000000),1)</f>
        <v>#REF!</v>
      </c>
      <c r="I53" s="173" t="e">
        <f>ROUND(F53-(F53*#REF!),1)</f>
        <v>#REF!</v>
      </c>
      <c r="J53" s="69" t="e">
        <f>ROUND(G53-(G53*#REF!),1)</f>
        <v>#REF!</v>
      </c>
      <c r="K53" s="71" t="e">
        <f>ROUND(H53-(H53*#REF!),2)</f>
        <v>#REF!</v>
      </c>
      <c r="L53" s="150" t="e">
        <f>I53*#REF!*#REF!</f>
        <v>#REF!</v>
      </c>
      <c r="M53" s="145" t="e">
        <f>J53*#REF!*#REF!</f>
        <v>#REF!</v>
      </c>
      <c r="N53" s="162" t="e">
        <f>K53*#REF!*#REF!</f>
        <v>#REF!</v>
      </c>
      <c r="O53" s="53"/>
      <c r="P53" s="53"/>
    </row>
    <row r="54" spans="2:16" hidden="1" x14ac:dyDescent="0.25">
      <c r="B54" s="393">
        <v>2028</v>
      </c>
      <c r="C54" s="386">
        <v>2</v>
      </c>
      <c r="D54" s="141">
        <v>8</v>
      </c>
      <c r="E54" s="475" t="e">
        <f t="shared" ref="E54:E83" si="7">$E$53*(1+0.005)^(B54-$B$53)</f>
        <v>#REF!</v>
      </c>
      <c r="F54" s="472" t="e">
        <f>ROUND(((#REF!*$E54*365*#REF!)/1000000),1)</f>
        <v>#REF!</v>
      </c>
      <c r="G54" s="480" t="e">
        <f>ROUND(((#REF!*$E54*365*#REF!)/1000000),1)</f>
        <v>#REF!</v>
      </c>
      <c r="H54" s="481" t="e">
        <f>ROUND(((#REF!*$E54*365*#REF!)/1000000),1)</f>
        <v>#REF!</v>
      </c>
      <c r="I54" s="482" t="e">
        <f>ROUND(F54-(F54*#REF!),1)</f>
        <v>#REF!</v>
      </c>
      <c r="J54" s="480" t="e">
        <f>ROUND(G54-(G54*#REF!),1)</f>
        <v>#REF!</v>
      </c>
      <c r="K54" s="481" t="e">
        <f>ROUND(H54-(H54*#REF!),2)</f>
        <v>#REF!</v>
      </c>
      <c r="L54" s="483" t="e">
        <f>I54*#REF!*#REF!</f>
        <v>#REF!</v>
      </c>
      <c r="M54" s="484" t="e">
        <f>J54*#REF!*#REF!</f>
        <v>#REF!</v>
      </c>
      <c r="N54" s="485" t="e">
        <f>K54*#REF!*#REF!</f>
        <v>#REF!</v>
      </c>
      <c r="O54" s="53"/>
      <c r="P54" s="53"/>
    </row>
    <row r="55" spans="2:16" hidden="1" x14ac:dyDescent="0.25">
      <c r="B55" s="395">
        <v>2029</v>
      </c>
      <c r="C55" s="387">
        <v>3</v>
      </c>
      <c r="D55" s="142">
        <v>9</v>
      </c>
      <c r="E55" s="475" t="e">
        <f t="shared" si="7"/>
        <v>#REF!</v>
      </c>
      <c r="F55" s="472" t="e">
        <f>ROUND(((#REF!*$E55*365*#REF!)/1000000),1)</f>
        <v>#REF!</v>
      </c>
      <c r="G55" s="480" t="e">
        <f>ROUND(((#REF!*$E55*365*#REF!)/1000000),1)</f>
        <v>#REF!</v>
      </c>
      <c r="H55" s="481" t="e">
        <f>ROUND(((#REF!*$E55*365*#REF!)/1000000),1)</f>
        <v>#REF!</v>
      </c>
      <c r="I55" s="482" t="e">
        <f>ROUND(F55-(F55*#REF!),1)</f>
        <v>#REF!</v>
      </c>
      <c r="J55" s="480" t="e">
        <f>ROUND(G55-(G55*#REF!),1)</f>
        <v>#REF!</v>
      </c>
      <c r="K55" s="481" t="e">
        <f>ROUND(H55-(H55*#REF!),2)</f>
        <v>#REF!</v>
      </c>
      <c r="L55" s="483" t="e">
        <f>I55*#REF!*#REF!</f>
        <v>#REF!</v>
      </c>
      <c r="M55" s="484" t="e">
        <f>J55*#REF!*#REF!</f>
        <v>#REF!</v>
      </c>
      <c r="N55" s="485" t="e">
        <f>K55*#REF!*#REF!</f>
        <v>#REF!</v>
      </c>
      <c r="O55" s="53"/>
      <c r="P55" s="53"/>
    </row>
    <row r="56" spans="2:16" hidden="1" x14ac:dyDescent="0.25">
      <c r="B56" s="393">
        <v>2030</v>
      </c>
      <c r="C56" s="387">
        <v>4</v>
      </c>
      <c r="D56" s="142">
        <v>10</v>
      </c>
      <c r="E56" s="475" t="e">
        <f t="shared" si="7"/>
        <v>#REF!</v>
      </c>
      <c r="F56" s="472" t="e">
        <f>ROUND(((#REF!*$E56*365*#REF!)/1000000),1)</f>
        <v>#REF!</v>
      </c>
      <c r="G56" s="480" t="e">
        <f>ROUND(((#REF!*$E56*365*#REF!)/1000000),1)</f>
        <v>#REF!</v>
      </c>
      <c r="H56" s="481" t="e">
        <f>ROUND(((#REF!*$E56*365*#REF!)/1000000),1)</f>
        <v>#REF!</v>
      </c>
      <c r="I56" s="482" t="e">
        <f>ROUND(F56-(F56*#REF!),1)</f>
        <v>#REF!</v>
      </c>
      <c r="J56" s="480" t="e">
        <f>ROUND(G56-(G56*#REF!),1)</f>
        <v>#REF!</v>
      </c>
      <c r="K56" s="481" t="e">
        <f>ROUND(H56-(H56*#REF!),2)</f>
        <v>#REF!</v>
      </c>
      <c r="L56" s="483" t="e">
        <f>I56*#REF!*#REF!</f>
        <v>#REF!</v>
      </c>
      <c r="M56" s="484" t="e">
        <f>J56*#REF!*#REF!</f>
        <v>#REF!</v>
      </c>
      <c r="N56" s="485" t="e">
        <f>K56*#REF!*#REF!</f>
        <v>#REF!</v>
      </c>
      <c r="O56" s="53"/>
      <c r="P56" s="53"/>
    </row>
    <row r="57" spans="2:16" hidden="1" x14ac:dyDescent="0.25">
      <c r="B57" s="395">
        <v>2031</v>
      </c>
      <c r="C57" s="387">
        <v>5</v>
      </c>
      <c r="D57" s="142">
        <v>11</v>
      </c>
      <c r="E57" s="475" t="e">
        <f t="shared" si="7"/>
        <v>#REF!</v>
      </c>
      <c r="F57" s="472" t="e">
        <f>ROUND(((#REF!*$E57*365*#REF!)/1000000),1)</f>
        <v>#REF!</v>
      </c>
      <c r="G57" s="480" t="e">
        <f>ROUND(((#REF!*$E57*365*#REF!)/1000000),1)</f>
        <v>#REF!</v>
      </c>
      <c r="H57" s="481" t="e">
        <f>ROUND(((#REF!*$E57*365*#REF!)/1000000),1)</f>
        <v>#REF!</v>
      </c>
      <c r="I57" s="482" t="e">
        <f>ROUND(F57-(F57*#REF!),1)</f>
        <v>#REF!</v>
      </c>
      <c r="J57" s="480" t="e">
        <f>ROUND(G57-(G57*#REF!),1)</f>
        <v>#REF!</v>
      </c>
      <c r="K57" s="481" t="e">
        <f>ROUND(H57-(H57*#REF!),2)</f>
        <v>#REF!</v>
      </c>
      <c r="L57" s="483" t="e">
        <f>I57*#REF!*#REF!</f>
        <v>#REF!</v>
      </c>
      <c r="M57" s="484" t="e">
        <f>J57*#REF!*#REF!</f>
        <v>#REF!</v>
      </c>
      <c r="N57" s="485" t="e">
        <f>K57*#REF!*#REF!</f>
        <v>#REF!</v>
      </c>
      <c r="O57" s="53"/>
      <c r="P57" s="53"/>
    </row>
    <row r="58" spans="2:16" hidden="1" x14ac:dyDescent="0.25">
      <c r="B58" s="393">
        <v>2032</v>
      </c>
      <c r="C58" s="387">
        <v>6</v>
      </c>
      <c r="D58" s="142">
        <v>12</v>
      </c>
      <c r="E58" s="475" t="e">
        <f t="shared" si="7"/>
        <v>#REF!</v>
      </c>
      <c r="F58" s="472" t="e">
        <f>ROUND(((#REF!*$E58*365*#REF!)/1000000),1)</f>
        <v>#REF!</v>
      </c>
      <c r="G58" s="480" t="e">
        <f>ROUND(((#REF!*$E58*365*#REF!)/1000000),1)</f>
        <v>#REF!</v>
      </c>
      <c r="H58" s="481" t="e">
        <f>ROUND(((#REF!*$E58*365*#REF!)/1000000),1)</f>
        <v>#REF!</v>
      </c>
      <c r="I58" s="482" t="e">
        <f>ROUND(F58-(F58*#REF!),1)</f>
        <v>#REF!</v>
      </c>
      <c r="J58" s="480" t="e">
        <f>ROUND(G58-(G58*#REF!),1)</f>
        <v>#REF!</v>
      </c>
      <c r="K58" s="481" t="e">
        <f>ROUND(H58-(H58*#REF!),2)</f>
        <v>#REF!</v>
      </c>
      <c r="L58" s="483" t="e">
        <f>I58*#REF!*#REF!</f>
        <v>#REF!</v>
      </c>
      <c r="M58" s="484" t="e">
        <f>J58*#REF!*#REF!</f>
        <v>#REF!</v>
      </c>
      <c r="N58" s="485" t="e">
        <f>K58*#REF!*#REF!</f>
        <v>#REF!</v>
      </c>
      <c r="O58" s="53"/>
      <c r="P58" s="53"/>
    </row>
    <row r="59" spans="2:16" hidden="1" x14ac:dyDescent="0.25">
      <c r="B59" s="395">
        <v>2033</v>
      </c>
      <c r="C59" s="387">
        <v>7</v>
      </c>
      <c r="D59" s="142">
        <v>13</v>
      </c>
      <c r="E59" s="475" t="e">
        <f t="shared" si="7"/>
        <v>#REF!</v>
      </c>
      <c r="F59" s="472" t="e">
        <f>ROUND(((#REF!*$E59*365*#REF!)/1000000),1)</f>
        <v>#REF!</v>
      </c>
      <c r="G59" s="480" t="e">
        <f>ROUND(((#REF!*$E59*365*#REF!)/1000000),1)</f>
        <v>#REF!</v>
      </c>
      <c r="H59" s="481" t="e">
        <f>ROUND(((#REF!*$E59*365*#REF!)/1000000),1)</f>
        <v>#REF!</v>
      </c>
      <c r="I59" s="482" t="e">
        <f>ROUND(F59-(F59*#REF!),1)</f>
        <v>#REF!</v>
      </c>
      <c r="J59" s="480" t="e">
        <f>ROUND(G59-(G59*#REF!),1)</f>
        <v>#REF!</v>
      </c>
      <c r="K59" s="481" t="e">
        <f>ROUND(H59-(H59*#REF!),2)</f>
        <v>#REF!</v>
      </c>
      <c r="L59" s="483" t="e">
        <f>I59*#REF!*#REF!</f>
        <v>#REF!</v>
      </c>
      <c r="M59" s="484" t="e">
        <f>J59*#REF!*#REF!</f>
        <v>#REF!</v>
      </c>
      <c r="N59" s="485" t="e">
        <f>K59*#REF!*#REF!</f>
        <v>#REF!</v>
      </c>
      <c r="O59" s="53"/>
      <c r="P59" s="53"/>
    </row>
    <row r="60" spans="2:16" hidden="1" x14ac:dyDescent="0.25">
      <c r="B60" s="393">
        <v>2034</v>
      </c>
      <c r="C60" s="387">
        <v>8</v>
      </c>
      <c r="D60" s="142">
        <v>14</v>
      </c>
      <c r="E60" s="475" t="e">
        <f t="shared" si="7"/>
        <v>#REF!</v>
      </c>
      <c r="F60" s="472" t="e">
        <f>ROUND(((#REF!*$E60*365*#REF!)/1000000),1)</f>
        <v>#REF!</v>
      </c>
      <c r="G60" s="480" t="e">
        <f>ROUND(((#REF!*$E60*365*#REF!)/1000000),1)</f>
        <v>#REF!</v>
      </c>
      <c r="H60" s="481" t="e">
        <f>ROUND(((#REF!*$E60*365*#REF!)/1000000),1)</f>
        <v>#REF!</v>
      </c>
      <c r="I60" s="482" t="e">
        <f>ROUND(F60-(F60*#REF!),1)</f>
        <v>#REF!</v>
      </c>
      <c r="J60" s="480" t="e">
        <f>ROUND(G60-(G60*#REF!),1)</f>
        <v>#REF!</v>
      </c>
      <c r="K60" s="481" t="e">
        <f>ROUND(H60-(H60*#REF!),2)</f>
        <v>#REF!</v>
      </c>
      <c r="L60" s="483" t="e">
        <f>I60*#REF!*#REF!</f>
        <v>#REF!</v>
      </c>
      <c r="M60" s="484" t="e">
        <f>J60*#REF!*#REF!</f>
        <v>#REF!</v>
      </c>
      <c r="N60" s="485" t="e">
        <f>K60*#REF!*#REF!</f>
        <v>#REF!</v>
      </c>
      <c r="O60" s="53"/>
      <c r="P60" s="53"/>
    </row>
    <row r="61" spans="2:16" hidden="1" x14ac:dyDescent="0.25">
      <c r="B61" s="395">
        <v>2035</v>
      </c>
      <c r="C61" s="387">
        <v>9</v>
      </c>
      <c r="D61" s="142">
        <v>15</v>
      </c>
      <c r="E61" s="475" t="e">
        <f t="shared" si="7"/>
        <v>#REF!</v>
      </c>
      <c r="F61" s="472" t="e">
        <f>ROUND(((#REF!*$E61*365*#REF!)/1000000),1)</f>
        <v>#REF!</v>
      </c>
      <c r="G61" s="480" t="e">
        <f>ROUND(((#REF!*$E61*365*#REF!)/1000000),1)</f>
        <v>#REF!</v>
      </c>
      <c r="H61" s="481" t="e">
        <f>ROUND(((#REF!*$E61*365*#REF!)/1000000),1)</f>
        <v>#REF!</v>
      </c>
      <c r="I61" s="482" t="e">
        <f>ROUND(F61-(F61*#REF!),1)</f>
        <v>#REF!</v>
      </c>
      <c r="J61" s="480" t="e">
        <f>ROUND(G61-(G61*#REF!),1)</f>
        <v>#REF!</v>
      </c>
      <c r="K61" s="481" t="e">
        <f>ROUND(H61-(H61*#REF!),2)</f>
        <v>#REF!</v>
      </c>
      <c r="L61" s="483" t="e">
        <f>I61*#REF!*#REF!</f>
        <v>#REF!</v>
      </c>
      <c r="M61" s="484" t="e">
        <f>J61*#REF!*#REF!</f>
        <v>#REF!</v>
      </c>
      <c r="N61" s="485" t="e">
        <f>K61*#REF!*#REF!</f>
        <v>#REF!</v>
      </c>
      <c r="O61" s="53"/>
      <c r="P61" s="53"/>
    </row>
    <row r="62" spans="2:16" hidden="1" x14ac:dyDescent="0.25">
      <c r="B62" s="393">
        <v>2036</v>
      </c>
      <c r="C62" s="387">
        <v>10</v>
      </c>
      <c r="D62" s="142">
        <v>16</v>
      </c>
      <c r="E62" s="475" t="e">
        <f t="shared" si="7"/>
        <v>#REF!</v>
      </c>
      <c r="F62" s="472" t="e">
        <f>ROUND(((#REF!*$E62*365*#REF!)/1000000),1)</f>
        <v>#REF!</v>
      </c>
      <c r="G62" s="480" t="e">
        <f>ROUND(((#REF!*$E62*365*#REF!)/1000000),1)</f>
        <v>#REF!</v>
      </c>
      <c r="H62" s="481" t="e">
        <f>ROUND(((#REF!*$E62*365*#REF!)/1000000),1)</f>
        <v>#REF!</v>
      </c>
      <c r="I62" s="482" t="e">
        <f>ROUND(F62-(F62*#REF!),1)</f>
        <v>#REF!</v>
      </c>
      <c r="J62" s="480" t="e">
        <f>ROUND(G62-(G62*#REF!),1)</f>
        <v>#REF!</v>
      </c>
      <c r="K62" s="481" t="e">
        <f>ROUND(H62-(H62*#REF!),2)</f>
        <v>#REF!</v>
      </c>
      <c r="L62" s="483" t="e">
        <f>I62*#REF!*#REF!</f>
        <v>#REF!</v>
      </c>
      <c r="M62" s="484" t="e">
        <f>J62*#REF!*#REF!</f>
        <v>#REF!</v>
      </c>
      <c r="N62" s="485" t="e">
        <f>K62*#REF!*#REF!</f>
        <v>#REF!</v>
      </c>
      <c r="O62" s="53"/>
      <c r="P62" s="53"/>
    </row>
    <row r="63" spans="2:16" hidden="1" x14ac:dyDescent="0.25">
      <c r="B63" s="395">
        <v>2037</v>
      </c>
      <c r="C63" s="387">
        <v>11</v>
      </c>
      <c r="D63" s="142">
        <v>17</v>
      </c>
      <c r="E63" s="475" t="e">
        <f t="shared" si="7"/>
        <v>#REF!</v>
      </c>
      <c r="F63" s="472" t="e">
        <f>ROUND(((#REF!*$E63*365*#REF!)/1000000),1)</f>
        <v>#REF!</v>
      </c>
      <c r="G63" s="480" t="e">
        <f>ROUND(((#REF!*$E63*365*#REF!)/1000000),1)</f>
        <v>#REF!</v>
      </c>
      <c r="H63" s="481" t="e">
        <f>ROUND(((#REF!*$E63*365*#REF!)/1000000),1)</f>
        <v>#REF!</v>
      </c>
      <c r="I63" s="482" t="e">
        <f>ROUND(F63-(F63*#REF!),1)</f>
        <v>#REF!</v>
      </c>
      <c r="J63" s="480" t="e">
        <f>ROUND(G63-(G63*#REF!),1)</f>
        <v>#REF!</v>
      </c>
      <c r="K63" s="481" t="e">
        <f>ROUND(H63-(H63*#REF!),2)</f>
        <v>#REF!</v>
      </c>
      <c r="L63" s="483" t="e">
        <f>I63*#REF!*#REF!</f>
        <v>#REF!</v>
      </c>
      <c r="M63" s="484" t="e">
        <f>J63*#REF!*#REF!</f>
        <v>#REF!</v>
      </c>
      <c r="N63" s="485" t="e">
        <f>K63*#REF!*#REF!</f>
        <v>#REF!</v>
      </c>
      <c r="O63" s="53"/>
      <c r="P63" s="53"/>
    </row>
    <row r="64" spans="2:16" hidden="1" x14ac:dyDescent="0.25">
      <c r="B64" s="393">
        <v>2038</v>
      </c>
      <c r="C64" s="387">
        <v>12</v>
      </c>
      <c r="D64" s="142">
        <v>18</v>
      </c>
      <c r="E64" s="475" t="e">
        <f t="shared" si="7"/>
        <v>#REF!</v>
      </c>
      <c r="F64" s="472" t="e">
        <f>ROUND(((#REF!*$E64*365*#REF!)/1000000),1)</f>
        <v>#REF!</v>
      </c>
      <c r="G64" s="480" t="e">
        <f>ROUND(((#REF!*$E64*365*#REF!)/1000000),1)</f>
        <v>#REF!</v>
      </c>
      <c r="H64" s="481" t="e">
        <f>ROUND(((#REF!*$E64*365*#REF!)/1000000),1)</f>
        <v>#REF!</v>
      </c>
      <c r="I64" s="482" t="e">
        <f>ROUND(F64-(F64*#REF!),1)</f>
        <v>#REF!</v>
      </c>
      <c r="J64" s="480" t="e">
        <f>ROUND(G64-(G64*#REF!),1)</f>
        <v>#REF!</v>
      </c>
      <c r="K64" s="481" t="e">
        <f>ROUND(H64-(H64*#REF!),2)</f>
        <v>#REF!</v>
      </c>
      <c r="L64" s="483" t="e">
        <f>I64*#REF!*#REF!</f>
        <v>#REF!</v>
      </c>
      <c r="M64" s="484" t="e">
        <f>J64*#REF!*#REF!</f>
        <v>#REF!</v>
      </c>
      <c r="N64" s="485" t="e">
        <f>K64*#REF!*#REF!</f>
        <v>#REF!</v>
      </c>
      <c r="O64" s="53"/>
      <c r="P64" s="53"/>
    </row>
    <row r="65" spans="2:16" hidden="1" x14ac:dyDescent="0.25">
      <c r="B65" s="395">
        <v>2039</v>
      </c>
      <c r="C65" s="387">
        <v>13</v>
      </c>
      <c r="D65" s="142">
        <v>19</v>
      </c>
      <c r="E65" s="475" t="e">
        <f t="shared" si="7"/>
        <v>#REF!</v>
      </c>
      <c r="F65" s="472" t="e">
        <f>ROUND(((#REF!*$E65*365*#REF!)/1000000),1)</f>
        <v>#REF!</v>
      </c>
      <c r="G65" s="480" t="e">
        <f>ROUND(((#REF!*$E65*365*#REF!)/1000000),1)</f>
        <v>#REF!</v>
      </c>
      <c r="H65" s="481" t="e">
        <f>ROUND(((#REF!*$E65*365*#REF!)/1000000),1)</f>
        <v>#REF!</v>
      </c>
      <c r="I65" s="482" t="e">
        <f>ROUND(F65-(F65*#REF!),1)</f>
        <v>#REF!</v>
      </c>
      <c r="J65" s="480" t="e">
        <f>ROUND(G65-(G65*#REF!),1)</f>
        <v>#REF!</v>
      </c>
      <c r="K65" s="481" t="e">
        <f>ROUND(H65-(H65*#REF!),2)</f>
        <v>#REF!</v>
      </c>
      <c r="L65" s="483" t="e">
        <f>I65*#REF!*#REF!</f>
        <v>#REF!</v>
      </c>
      <c r="M65" s="484" t="e">
        <f>J65*#REF!*#REF!</f>
        <v>#REF!</v>
      </c>
      <c r="N65" s="485" t="e">
        <f>K65*#REF!*#REF!</f>
        <v>#REF!</v>
      </c>
      <c r="O65" s="53"/>
      <c r="P65" s="53"/>
    </row>
    <row r="66" spans="2:16" hidden="1" x14ac:dyDescent="0.25">
      <c r="B66" s="393">
        <v>2040</v>
      </c>
      <c r="C66" s="387">
        <v>14</v>
      </c>
      <c r="D66" s="142">
        <v>20</v>
      </c>
      <c r="E66" s="475" t="e">
        <f t="shared" si="7"/>
        <v>#REF!</v>
      </c>
      <c r="F66" s="472" t="e">
        <f>ROUND(((#REF!*$E66*365*#REF!)/1000000),1)</f>
        <v>#REF!</v>
      </c>
      <c r="G66" s="480" t="e">
        <f>ROUND(((#REF!*$E66*365*#REF!)/1000000),1)</f>
        <v>#REF!</v>
      </c>
      <c r="H66" s="481" t="e">
        <f>ROUND(((#REF!*$E66*365*#REF!)/1000000),1)</f>
        <v>#REF!</v>
      </c>
      <c r="I66" s="482" t="e">
        <f>ROUND(F66-(F66*#REF!),1)</f>
        <v>#REF!</v>
      </c>
      <c r="J66" s="480" t="e">
        <f>ROUND(G66-(G66*#REF!),1)</f>
        <v>#REF!</v>
      </c>
      <c r="K66" s="481" t="e">
        <f>ROUND(H66-(H66*#REF!),2)</f>
        <v>#REF!</v>
      </c>
      <c r="L66" s="483" t="e">
        <f>I66*#REF!*#REF!</f>
        <v>#REF!</v>
      </c>
      <c r="M66" s="484" t="e">
        <f>J66*#REF!*#REF!</f>
        <v>#REF!</v>
      </c>
      <c r="N66" s="485" t="e">
        <f>K66*#REF!*#REF!</f>
        <v>#REF!</v>
      </c>
      <c r="O66" s="53"/>
      <c r="P66" s="53"/>
    </row>
    <row r="67" spans="2:16" hidden="1" x14ac:dyDescent="0.25">
      <c r="B67" s="395">
        <v>2041</v>
      </c>
      <c r="C67" s="387">
        <v>15</v>
      </c>
      <c r="D67" s="142">
        <v>21</v>
      </c>
      <c r="E67" s="475" t="e">
        <f t="shared" si="7"/>
        <v>#REF!</v>
      </c>
      <c r="F67" s="472" t="e">
        <f>ROUND(((#REF!*$E67*365*#REF!)/1000000),1)</f>
        <v>#REF!</v>
      </c>
      <c r="G67" s="480" t="e">
        <f>ROUND(((#REF!*$E67*365*#REF!)/1000000),1)</f>
        <v>#REF!</v>
      </c>
      <c r="H67" s="481" t="e">
        <f>ROUND(((#REF!*$E67*365*#REF!)/1000000),1)</f>
        <v>#REF!</v>
      </c>
      <c r="I67" s="482" t="e">
        <f>ROUND(F67-(F67*#REF!),1)</f>
        <v>#REF!</v>
      </c>
      <c r="J67" s="480" t="e">
        <f>ROUND(G67-(G67*#REF!),1)</f>
        <v>#REF!</v>
      </c>
      <c r="K67" s="481" t="e">
        <f>ROUND(H67-(H67*#REF!),2)</f>
        <v>#REF!</v>
      </c>
      <c r="L67" s="483" t="e">
        <f>I67*#REF!*#REF!</f>
        <v>#REF!</v>
      </c>
      <c r="M67" s="484" t="e">
        <f>J67*#REF!*#REF!</f>
        <v>#REF!</v>
      </c>
      <c r="N67" s="485" t="e">
        <f>K67*#REF!*#REF!</f>
        <v>#REF!</v>
      </c>
      <c r="O67" s="53"/>
      <c r="P67" s="53"/>
    </row>
    <row r="68" spans="2:16" hidden="1" x14ac:dyDescent="0.25">
      <c r="B68" s="393">
        <v>2042</v>
      </c>
      <c r="C68" s="387">
        <v>16</v>
      </c>
      <c r="D68" s="142">
        <v>22</v>
      </c>
      <c r="E68" s="475" t="e">
        <f t="shared" si="7"/>
        <v>#REF!</v>
      </c>
      <c r="F68" s="472" t="e">
        <f>ROUND(((#REF!*$E68*365*#REF!)/1000000),1)</f>
        <v>#REF!</v>
      </c>
      <c r="G68" s="480" t="e">
        <f>ROUND(((#REF!*$E68*365*#REF!)/1000000),1)</f>
        <v>#REF!</v>
      </c>
      <c r="H68" s="481" t="e">
        <f>ROUND(((#REF!*$E68*365*#REF!)/1000000),1)</f>
        <v>#REF!</v>
      </c>
      <c r="I68" s="482" t="e">
        <f>ROUND(F68-(F68*#REF!),1)</f>
        <v>#REF!</v>
      </c>
      <c r="J68" s="480" t="e">
        <f>ROUND(G68-(G68*#REF!),1)</f>
        <v>#REF!</v>
      </c>
      <c r="K68" s="481" t="e">
        <f>ROUND(H68-(H68*#REF!),2)</f>
        <v>#REF!</v>
      </c>
      <c r="L68" s="483" t="e">
        <f>I68*#REF!*#REF!</f>
        <v>#REF!</v>
      </c>
      <c r="M68" s="484" t="e">
        <f>J68*#REF!*#REF!</f>
        <v>#REF!</v>
      </c>
      <c r="N68" s="485" t="e">
        <f>K68*#REF!*#REF!</f>
        <v>#REF!</v>
      </c>
      <c r="O68" s="53"/>
      <c r="P68" s="53"/>
    </row>
    <row r="69" spans="2:16" hidden="1" x14ac:dyDescent="0.25">
      <c r="B69" s="395">
        <v>2043</v>
      </c>
      <c r="C69" s="387">
        <v>17</v>
      </c>
      <c r="D69" s="142">
        <v>23</v>
      </c>
      <c r="E69" s="475" t="e">
        <f t="shared" si="7"/>
        <v>#REF!</v>
      </c>
      <c r="F69" s="472" t="e">
        <f>ROUND(((#REF!*$E69*365*#REF!)/1000000),1)</f>
        <v>#REF!</v>
      </c>
      <c r="G69" s="480" t="e">
        <f>ROUND(((#REF!*$E69*365*#REF!)/1000000),1)</f>
        <v>#REF!</v>
      </c>
      <c r="H69" s="481" t="e">
        <f>ROUND(((#REF!*$E69*365*#REF!)/1000000),1)</f>
        <v>#REF!</v>
      </c>
      <c r="I69" s="482" t="e">
        <f>ROUND(F69-(F69*#REF!),1)</f>
        <v>#REF!</v>
      </c>
      <c r="J69" s="480" t="e">
        <f>ROUND(G69-(G69*#REF!),1)</f>
        <v>#REF!</v>
      </c>
      <c r="K69" s="481" t="e">
        <f>ROUND(H69-(H69*#REF!),2)</f>
        <v>#REF!</v>
      </c>
      <c r="L69" s="483" t="e">
        <f>I69*#REF!*#REF!</f>
        <v>#REF!</v>
      </c>
      <c r="M69" s="484" t="e">
        <f>J69*#REF!*#REF!</f>
        <v>#REF!</v>
      </c>
      <c r="N69" s="485" t="e">
        <f>K69*#REF!*#REF!</f>
        <v>#REF!</v>
      </c>
      <c r="O69" s="53"/>
      <c r="P69" s="53"/>
    </row>
    <row r="70" spans="2:16" hidden="1" x14ac:dyDescent="0.25">
      <c r="B70" s="393">
        <v>2044</v>
      </c>
      <c r="C70" s="387">
        <v>18</v>
      </c>
      <c r="D70" s="142">
        <v>24</v>
      </c>
      <c r="E70" s="475" t="e">
        <f t="shared" si="7"/>
        <v>#REF!</v>
      </c>
      <c r="F70" s="472" t="e">
        <f>ROUND(((#REF!*$E70*365*#REF!)/1000000),1)</f>
        <v>#REF!</v>
      </c>
      <c r="G70" s="480" t="e">
        <f>ROUND(((#REF!*$E70*365*#REF!)/1000000),1)</f>
        <v>#REF!</v>
      </c>
      <c r="H70" s="481" t="e">
        <f>ROUND(((#REF!*$E70*365*#REF!)/1000000),1)</f>
        <v>#REF!</v>
      </c>
      <c r="I70" s="482" t="e">
        <f>ROUND(F70-(F70*#REF!),1)</f>
        <v>#REF!</v>
      </c>
      <c r="J70" s="480" t="e">
        <f>ROUND(G70-(G70*#REF!),1)</f>
        <v>#REF!</v>
      </c>
      <c r="K70" s="481" t="e">
        <f>ROUND(H70-(H70*#REF!),2)</f>
        <v>#REF!</v>
      </c>
      <c r="L70" s="483" t="e">
        <f>I70*#REF!*#REF!</f>
        <v>#REF!</v>
      </c>
      <c r="M70" s="484" t="e">
        <f>J70*#REF!*#REF!</f>
        <v>#REF!</v>
      </c>
      <c r="N70" s="485" t="e">
        <f>K70*#REF!*#REF!</f>
        <v>#REF!</v>
      </c>
      <c r="O70" s="53"/>
      <c r="P70" s="53"/>
    </row>
    <row r="71" spans="2:16" hidden="1" x14ac:dyDescent="0.25">
      <c r="B71" s="395">
        <v>2045</v>
      </c>
      <c r="C71" s="387">
        <v>19</v>
      </c>
      <c r="D71" s="142">
        <v>25</v>
      </c>
      <c r="E71" s="475" t="e">
        <f t="shared" si="7"/>
        <v>#REF!</v>
      </c>
      <c r="F71" s="472" t="e">
        <f>ROUND(((#REF!*$E71*365*#REF!)/1000000),1)</f>
        <v>#REF!</v>
      </c>
      <c r="G71" s="480" t="e">
        <f>ROUND(((#REF!*$E71*365*#REF!)/1000000),1)</f>
        <v>#REF!</v>
      </c>
      <c r="H71" s="481" t="e">
        <f>ROUND(((#REF!*$E71*365*#REF!)/1000000),1)</f>
        <v>#REF!</v>
      </c>
      <c r="I71" s="482" t="e">
        <f>ROUND(F71-(F71*#REF!),1)</f>
        <v>#REF!</v>
      </c>
      <c r="J71" s="480" t="e">
        <f>ROUND(G71-(G71*#REF!),1)</f>
        <v>#REF!</v>
      </c>
      <c r="K71" s="481" t="e">
        <f>ROUND(H71-(H71*#REF!),2)</f>
        <v>#REF!</v>
      </c>
      <c r="L71" s="483" t="e">
        <f>I71*#REF!*#REF!</f>
        <v>#REF!</v>
      </c>
      <c r="M71" s="484" t="e">
        <f>J71*#REF!*#REF!</f>
        <v>#REF!</v>
      </c>
      <c r="N71" s="485" t="e">
        <f>K71*#REF!*#REF!</f>
        <v>#REF!</v>
      </c>
      <c r="O71" s="53"/>
      <c r="P71" s="53"/>
    </row>
    <row r="72" spans="2:16" hidden="1" x14ac:dyDescent="0.25">
      <c r="B72" s="393">
        <v>2046</v>
      </c>
      <c r="C72" s="387">
        <v>20</v>
      </c>
      <c r="D72" s="142">
        <v>26</v>
      </c>
      <c r="E72" s="475" t="e">
        <f t="shared" si="7"/>
        <v>#REF!</v>
      </c>
      <c r="F72" s="472" t="e">
        <f>ROUND(((#REF!*$E72*365*#REF!)/1000000),1)</f>
        <v>#REF!</v>
      </c>
      <c r="G72" s="480" t="e">
        <f>ROUND(((#REF!*$E72*365*#REF!)/1000000),1)</f>
        <v>#REF!</v>
      </c>
      <c r="H72" s="481" t="e">
        <f>ROUND(((#REF!*$E72*365*#REF!)/1000000),1)</f>
        <v>#REF!</v>
      </c>
      <c r="I72" s="482" t="e">
        <f>ROUND(F72-(F72*#REF!),1)</f>
        <v>#REF!</v>
      </c>
      <c r="J72" s="480" t="e">
        <f>ROUND(G72-(G72*#REF!),1)</f>
        <v>#REF!</v>
      </c>
      <c r="K72" s="481" t="e">
        <f>ROUND(H72-(H72*#REF!),2)</f>
        <v>#REF!</v>
      </c>
      <c r="L72" s="483" t="e">
        <f>I72*#REF!*#REF!</f>
        <v>#REF!</v>
      </c>
      <c r="M72" s="484" t="e">
        <f>J72*#REF!*#REF!</f>
        <v>#REF!</v>
      </c>
      <c r="N72" s="485" t="e">
        <f>K72*#REF!*#REF!</f>
        <v>#REF!</v>
      </c>
      <c r="O72" s="53"/>
      <c r="P72" s="53"/>
    </row>
    <row r="73" spans="2:16" hidden="1" x14ac:dyDescent="0.25">
      <c r="B73" s="391">
        <v>2047</v>
      </c>
      <c r="C73" s="385">
        <v>21</v>
      </c>
      <c r="D73" s="140">
        <v>27</v>
      </c>
      <c r="E73" s="422" t="e">
        <f t="shared" si="7"/>
        <v>#REF!</v>
      </c>
      <c r="F73" s="172" t="e">
        <f>ROUND(((#REF!*$E73*365*#REF!)/1000000),1)</f>
        <v>#REF!</v>
      </c>
      <c r="G73" s="69" t="e">
        <f>ROUND(((#REF!*$E73*365*#REF!)/1000000),1)</f>
        <v>#REF!</v>
      </c>
      <c r="H73" s="71" t="e">
        <f>ROUND(((#REF!*$E73*365*#REF!)/1000000),1)</f>
        <v>#REF!</v>
      </c>
      <c r="I73" s="173" t="e">
        <f>ROUND(F73-(F73*#REF!),1)</f>
        <v>#REF!</v>
      </c>
      <c r="J73" s="69" t="e">
        <f>ROUND(G73-(G73*#REF!),1)</f>
        <v>#REF!</v>
      </c>
      <c r="K73" s="71" t="e">
        <f>ROUND(H73-(H73*#REF!),2)</f>
        <v>#REF!</v>
      </c>
      <c r="L73" s="150" t="e">
        <f>I73*#REF!*#REF!</f>
        <v>#REF!</v>
      </c>
      <c r="M73" s="145" t="e">
        <f>J73*#REF!*#REF!</f>
        <v>#REF!</v>
      </c>
      <c r="N73" s="162" t="e">
        <f>K73*#REF!*#REF!</f>
        <v>#REF!</v>
      </c>
      <c r="O73" s="53"/>
      <c r="P73" s="53"/>
    </row>
    <row r="74" spans="2:16" hidden="1" x14ac:dyDescent="0.25">
      <c r="B74" s="393">
        <v>2048</v>
      </c>
      <c r="C74" s="387">
        <v>22</v>
      </c>
      <c r="D74" s="142">
        <v>28</v>
      </c>
      <c r="E74" s="475" t="e">
        <f t="shared" si="7"/>
        <v>#REF!</v>
      </c>
      <c r="F74" s="472" t="e">
        <f>ROUND(((#REF!*$E74*365*#REF!)/1000000),1)</f>
        <v>#REF!</v>
      </c>
      <c r="G74" s="480" t="e">
        <f>ROUND(((#REF!*$E74*365*#REF!)/1000000),1)</f>
        <v>#REF!</v>
      </c>
      <c r="H74" s="481" t="e">
        <f>ROUND(((#REF!*$E74*365*#REF!)/1000000),1)</f>
        <v>#REF!</v>
      </c>
      <c r="I74" s="482" t="e">
        <f>ROUND(F74-(F74*#REF!),1)</f>
        <v>#REF!</v>
      </c>
      <c r="J74" s="480" t="e">
        <f>ROUND(G74-(G74*#REF!),1)</f>
        <v>#REF!</v>
      </c>
      <c r="K74" s="481" t="e">
        <f>ROUND(H74-(H74*#REF!),2)</f>
        <v>#REF!</v>
      </c>
      <c r="L74" s="483" t="e">
        <f>I74*#REF!*#REF!</f>
        <v>#REF!</v>
      </c>
      <c r="M74" s="484" t="e">
        <f>J74*#REF!*#REF!</f>
        <v>#REF!</v>
      </c>
      <c r="N74" s="485" t="e">
        <f>K74*#REF!*#REF!</f>
        <v>#REF!</v>
      </c>
      <c r="O74" s="53"/>
      <c r="P74" s="53"/>
    </row>
    <row r="75" spans="2:16" hidden="1" x14ac:dyDescent="0.25">
      <c r="B75" s="395">
        <v>2049</v>
      </c>
      <c r="C75" s="387">
        <v>23</v>
      </c>
      <c r="D75" s="142">
        <v>29</v>
      </c>
      <c r="E75" s="475" t="e">
        <f t="shared" si="7"/>
        <v>#REF!</v>
      </c>
      <c r="F75" s="472" t="e">
        <f>ROUND(((#REF!*$E75*365*#REF!)/1000000),1)</f>
        <v>#REF!</v>
      </c>
      <c r="G75" s="480" t="e">
        <f>ROUND(((#REF!*$E75*365*#REF!)/1000000),1)</f>
        <v>#REF!</v>
      </c>
      <c r="H75" s="481" t="e">
        <f>ROUND(((#REF!*$E75*365*#REF!)/1000000),1)</f>
        <v>#REF!</v>
      </c>
      <c r="I75" s="482" t="e">
        <f>ROUND(F75-(F75*#REF!),1)</f>
        <v>#REF!</v>
      </c>
      <c r="J75" s="480" t="e">
        <f>ROUND(G75-(G75*#REF!),1)</f>
        <v>#REF!</v>
      </c>
      <c r="K75" s="481" t="e">
        <f>ROUND(H75-(H75*#REF!),2)</f>
        <v>#REF!</v>
      </c>
      <c r="L75" s="483" t="e">
        <f>I75*#REF!*#REF!</f>
        <v>#REF!</v>
      </c>
      <c r="M75" s="484" t="e">
        <f>J75*#REF!*#REF!</f>
        <v>#REF!</v>
      </c>
      <c r="N75" s="485" t="e">
        <f>K75*#REF!*#REF!</f>
        <v>#REF!</v>
      </c>
      <c r="O75" s="53"/>
      <c r="P75" s="53"/>
    </row>
    <row r="76" spans="2:16" hidden="1" x14ac:dyDescent="0.25">
      <c r="B76" s="393">
        <v>2050</v>
      </c>
      <c r="C76" s="387">
        <v>24</v>
      </c>
      <c r="D76" s="142">
        <v>30</v>
      </c>
      <c r="E76" s="475" t="e">
        <f t="shared" si="7"/>
        <v>#REF!</v>
      </c>
      <c r="F76" s="472" t="e">
        <f>ROUND(((#REF!*$E76*365*#REF!)/1000000),1)</f>
        <v>#REF!</v>
      </c>
      <c r="G76" s="480" t="e">
        <f>ROUND(((#REF!*$E76*365*#REF!)/1000000),1)</f>
        <v>#REF!</v>
      </c>
      <c r="H76" s="481" t="e">
        <f>ROUND(((#REF!*$E76*365*#REF!)/1000000),1)</f>
        <v>#REF!</v>
      </c>
      <c r="I76" s="482" t="e">
        <f>ROUND(F76-(F76*#REF!),1)</f>
        <v>#REF!</v>
      </c>
      <c r="J76" s="480" t="e">
        <f>ROUND(G76-(G76*#REF!),1)</f>
        <v>#REF!</v>
      </c>
      <c r="K76" s="481" t="e">
        <f>ROUND(H76-(H76*#REF!),2)</f>
        <v>#REF!</v>
      </c>
      <c r="L76" s="483" t="e">
        <f>I76*#REF!*#REF!</f>
        <v>#REF!</v>
      </c>
      <c r="M76" s="484" t="e">
        <f>J76*#REF!*#REF!</f>
        <v>#REF!</v>
      </c>
      <c r="N76" s="485" t="e">
        <f>K76*#REF!*#REF!</f>
        <v>#REF!</v>
      </c>
      <c r="O76" s="53"/>
      <c r="P76" s="53"/>
    </row>
    <row r="77" spans="2:16" hidden="1" x14ac:dyDescent="0.25">
      <c r="B77" s="395">
        <v>2051</v>
      </c>
      <c r="C77" s="387">
        <v>25</v>
      </c>
      <c r="D77" s="142">
        <v>31</v>
      </c>
      <c r="E77" s="475" t="e">
        <f t="shared" si="7"/>
        <v>#REF!</v>
      </c>
      <c r="F77" s="472" t="e">
        <f>ROUND(((#REF!*$E77*365*#REF!)/1000000),1)</f>
        <v>#REF!</v>
      </c>
      <c r="G77" s="480" t="e">
        <f>ROUND(((#REF!*$E77*365*#REF!)/1000000),1)</f>
        <v>#REF!</v>
      </c>
      <c r="H77" s="481" t="e">
        <f>ROUND(((#REF!*$E77*365*#REF!)/1000000),1)</f>
        <v>#REF!</v>
      </c>
      <c r="I77" s="482" t="e">
        <f>ROUND(F77-(F77*#REF!),1)</f>
        <v>#REF!</v>
      </c>
      <c r="J77" s="480" t="e">
        <f>ROUND(G77-(G77*#REF!),1)</f>
        <v>#REF!</v>
      </c>
      <c r="K77" s="481" t="e">
        <f>ROUND(H77-(H77*#REF!),2)</f>
        <v>#REF!</v>
      </c>
      <c r="L77" s="483" t="e">
        <f>I77*#REF!*#REF!</f>
        <v>#REF!</v>
      </c>
      <c r="M77" s="484" t="e">
        <f>J77*#REF!*#REF!</f>
        <v>#REF!</v>
      </c>
      <c r="N77" s="485" t="e">
        <f>K77*#REF!*#REF!</f>
        <v>#REF!</v>
      </c>
      <c r="O77" s="53"/>
      <c r="P77" s="53"/>
    </row>
    <row r="78" spans="2:16" hidden="1" x14ac:dyDescent="0.25">
      <c r="B78" s="393">
        <v>2052</v>
      </c>
      <c r="C78" s="387">
        <v>26</v>
      </c>
      <c r="D78" s="142">
        <v>32</v>
      </c>
      <c r="E78" s="475" t="e">
        <f t="shared" si="7"/>
        <v>#REF!</v>
      </c>
      <c r="F78" s="472" t="e">
        <f>ROUND(((#REF!*$E78*365*#REF!)/1000000),1)</f>
        <v>#REF!</v>
      </c>
      <c r="G78" s="480" t="e">
        <f>ROUND(((#REF!*$E78*365*#REF!)/1000000),1)</f>
        <v>#REF!</v>
      </c>
      <c r="H78" s="481" t="e">
        <f>ROUND(((#REF!*$E78*365*#REF!)/1000000),1)</f>
        <v>#REF!</v>
      </c>
      <c r="I78" s="482" t="e">
        <f>ROUND(F78-(F78*#REF!),1)</f>
        <v>#REF!</v>
      </c>
      <c r="J78" s="480" t="e">
        <f>ROUND(G78-(G78*#REF!),1)</f>
        <v>#REF!</v>
      </c>
      <c r="K78" s="481" t="e">
        <f>ROUND(H78-(H78*#REF!),2)</f>
        <v>#REF!</v>
      </c>
      <c r="L78" s="483" t="e">
        <f>I78*#REF!*#REF!</f>
        <v>#REF!</v>
      </c>
      <c r="M78" s="484" t="e">
        <f>J78*#REF!*#REF!</f>
        <v>#REF!</v>
      </c>
      <c r="N78" s="485" t="e">
        <f>K78*#REF!*#REF!</f>
        <v>#REF!</v>
      </c>
      <c r="O78" s="53"/>
      <c r="P78" s="53"/>
    </row>
    <row r="79" spans="2:16" hidden="1" x14ac:dyDescent="0.25">
      <c r="B79" s="395">
        <v>2053</v>
      </c>
      <c r="C79" s="387">
        <v>27</v>
      </c>
      <c r="D79" s="142">
        <v>33</v>
      </c>
      <c r="E79" s="475" t="e">
        <f t="shared" si="7"/>
        <v>#REF!</v>
      </c>
      <c r="F79" s="472" t="e">
        <f>ROUND(((#REF!*$E79*365*#REF!)/1000000),1)</f>
        <v>#REF!</v>
      </c>
      <c r="G79" s="480" t="e">
        <f>ROUND(((#REF!*$E79*365*#REF!)/1000000),1)</f>
        <v>#REF!</v>
      </c>
      <c r="H79" s="481" t="e">
        <f>ROUND(((#REF!*$E79*365*#REF!)/1000000),1)</f>
        <v>#REF!</v>
      </c>
      <c r="I79" s="482" t="e">
        <f>ROUND(F79-(F79*#REF!),1)</f>
        <v>#REF!</v>
      </c>
      <c r="J79" s="480" t="e">
        <f>ROUND(G79-(G79*#REF!),1)</f>
        <v>#REF!</v>
      </c>
      <c r="K79" s="481" t="e">
        <f>ROUND(H79-(H79*#REF!),2)</f>
        <v>#REF!</v>
      </c>
      <c r="L79" s="483" t="e">
        <f>I79*#REF!*#REF!</f>
        <v>#REF!</v>
      </c>
      <c r="M79" s="484" t="e">
        <f>J79*#REF!*#REF!</f>
        <v>#REF!</v>
      </c>
      <c r="N79" s="485" t="e">
        <f>K79*#REF!*#REF!</f>
        <v>#REF!</v>
      </c>
      <c r="O79" s="53"/>
      <c r="P79" s="53"/>
    </row>
    <row r="80" spans="2:16" hidden="1" x14ac:dyDescent="0.25">
      <c r="B80" s="393">
        <v>2054</v>
      </c>
      <c r="C80" s="387">
        <v>28</v>
      </c>
      <c r="D80" s="142">
        <v>34</v>
      </c>
      <c r="E80" s="475" t="e">
        <f t="shared" si="7"/>
        <v>#REF!</v>
      </c>
      <c r="F80" s="472" t="e">
        <f>ROUND(((#REF!*$E80*365*#REF!)/1000000),1)</f>
        <v>#REF!</v>
      </c>
      <c r="G80" s="480" t="e">
        <f>ROUND(((#REF!*$E80*365*#REF!)/1000000),1)</f>
        <v>#REF!</v>
      </c>
      <c r="H80" s="481" t="e">
        <f>ROUND(((#REF!*$E80*365*#REF!)/1000000),1)</f>
        <v>#REF!</v>
      </c>
      <c r="I80" s="482" t="e">
        <f>ROUND(F80-(F80*#REF!),1)</f>
        <v>#REF!</v>
      </c>
      <c r="J80" s="480" t="e">
        <f>ROUND(G80-(G80*#REF!),1)</f>
        <v>#REF!</v>
      </c>
      <c r="K80" s="481" t="e">
        <f>ROUND(H80-(H80*#REF!),2)</f>
        <v>#REF!</v>
      </c>
      <c r="L80" s="483" t="e">
        <f>I80*#REF!*#REF!</f>
        <v>#REF!</v>
      </c>
      <c r="M80" s="484" t="e">
        <f>J80*#REF!*#REF!</f>
        <v>#REF!</v>
      </c>
      <c r="N80" s="485" t="e">
        <f>K80*#REF!*#REF!</f>
        <v>#REF!</v>
      </c>
      <c r="O80" s="53"/>
      <c r="P80" s="53"/>
    </row>
    <row r="81" spans="2:16" hidden="1" x14ac:dyDescent="0.25">
      <c r="B81" s="395">
        <v>2055</v>
      </c>
      <c r="C81" s="387">
        <v>29</v>
      </c>
      <c r="D81" s="142">
        <v>35</v>
      </c>
      <c r="E81" s="475" t="e">
        <f t="shared" si="7"/>
        <v>#REF!</v>
      </c>
      <c r="F81" s="472" t="e">
        <f>ROUND(((#REF!*$E81*365*#REF!)/1000000),1)</f>
        <v>#REF!</v>
      </c>
      <c r="G81" s="480" t="e">
        <f>ROUND(((#REF!*$E81*365*#REF!)/1000000),1)</f>
        <v>#REF!</v>
      </c>
      <c r="H81" s="481" t="e">
        <f>ROUND(((#REF!*$E81*365*#REF!)/1000000),1)</f>
        <v>#REF!</v>
      </c>
      <c r="I81" s="482" t="e">
        <f>ROUND(F81-(F81*#REF!),1)</f>
        <v>#REF!</v>
      </c>
      <c r="J81" s="480" t="e">
        <f>ROUND(G81-(G81*#REF!),1)</f>
        <v>#REF!</v>
      </c>
      <c r="K81" s="481" t="e">
        <f>ROUND(H81-(H81*#REF!),2)</f>
        <v>#REF!</v>
      </c>
      <c r="L81" s="483" t="e">
        <f>I81*#REF!*#REF!</f>
        <v>#REF!</v>
      </c>
      <c r="M81" s="484" t="e">
        <f>J81*#REF!*#REF!</f>
        <v>#REF!</v>
      </c>
      <c r="N81" s="485" t="e">
        <f>K81*#REF!*#REF!</f>
        <v>#REF!</v>
      </c>
      <c r="O81" s="53"/>
      <c r="P81" s="53"/>
    </row>
    <row r="82" spans="2:16" hidden="1" x14ac:dyDescent="0.25">
      <c r="B82" s="393">
        <v>2056</v>
      </c>
      <c r="C82" s="387">
        <v>30</v>
      </c>
      <c r="D82" s="142">
        <v>36</v>
      </c>
      <c r="E82" s="475" t="e">
        <f t="shared" si="7"/>
        <v>#REF!</v>
      </c>
      <c r="F82" s="472" t="e">
        <f>ROUND(((#REF!*$E82*365*#REF!)/1000000),1)</f>
        <v>#REF!</v>
      </c>
      <c r="G82" s="480" t="e">
        <f>ROUND(((#REF!*$E82*365*#REF!)/1000000),1)</f>
        <v>#REF!</v>
      </c>
      <c r="H82" s="481" t="e">
        <f>ROUND(((#REF!*$E82*365*#REF!)/1000000),1)</f>
        <v>#REF!</v>
      </c>
      <c r="I82" s="482" t="e">
        <f>ROUND(F82-(F82*#REF!),1)</f>
        <v>#REF!</v>
      </c>
      <c r="J82" s="480" t="e">
        <f>ROUND(G82-(G82*#REF!),1)</f>
        <v>#REF!</v>
      </c>
      <c r="K82" s="481" t="e">
        <f>ROUND(H82-(H82*#REF!),2)</f>
        <v>#REF!</v>
      </c>
      <c r="L82" s="483" t="e">
        <f>I82*#REF!*#REF!</f>
        <v>#REF!</v>
      </c>
      <c r="M82" s="484" t="e">
        <f>J82*#REF!*#REF!</f>
        <v>#REF!</v>
      </c>
      <c r="N82" s="485" t="e">
        <f>K82*#REF!*#REF!</f>
        <v>#REF!</v>
      </c>
      <c r="O82" s="53"/>
      <c r="P82" s="53"/>
    </row>
    <row r="83" spans="2:16" ht="15.75" hidden="1" thickBot="1" x14ac:dyDescent="0.3">
      <c r="B83" s="397">
        <v>2057</v>
      </c>
      <c r="C83" s="398">
        <v>31</v>
      </c>
      <c r="D83" s="143">
        <v>37</v>
      </c>
      <c r="E83" s="477" t="e">
        <f t="shared" si="7"/>
        <v>#REF!</v>
      </c>
      <c r="F83" s="486" t="e">
        <f>ROUND(((#REF!*$E83*365*#REF!)/1000000),1)</f>
        <v>#REF!</v>
      </c>
      <c r="G83" s="487" t="e">
        <f>ROUND(((#REF!*$E83*365*#REF!)/1000000),1)</f>
        <v>#REF!</v>
      </c>
      <c r="H83" s="488" t="e">
        <f>ROUND(((#REF!*$E83*365*#REF!)/1000000),1)</f>
        <v>#REF!</v>
      </c>
      <c r="I83" s="489" t="e">
        <f>ROUND(F83-(F83*#REF!),1)</f>
        <v>#REF!</v>
      </c>
      <c r="J83" s="487" t="e">
        <f>ROUND(G83-(G83*#REF!),1)</f>
        <v>#REF!</v>
      </c>
      <c r="K83" s="488" t="e">
        <f>ROUND(H83-(H83*#REF!),2)</f>
        <v>#REF!</v>
      </c>
      <c r="L83" s="490" t="e">
        <f>I83*#REF!*#REF!</f>
        <v>#REF!</v>
      </c>
      <c r="M83" s="491" t="e">
        <f>J83*#REF!*#REF!</f>
        <v>#REF!</v>
      </c>
      <c r="N83" s="492" t="e">
        <f>K83*#REF!*#REF!</f>
        <v>#REF!</v>
      </c>
      <c r="O83" s="53"/>
      <c r="P83" s="53"/>
    </row>
    <row r="84" spans="2:16" ht="15.75" hidden="1" thickBot="1" x14ac:dyDescent="0.3">
      <c r="F84" s="306" t="e">
        <f>SUM(F47:F83)</f>
        <v>#REF!</v>
      </c>
      <c r="G84" s="306" t="e">
        <f t="shared" ref="G84:K84" si="8">SUM(G47:G83)</f>
        <v>#REF!</v>
      </c>
      <c r="H84" s="306" t="e">
        <f t="shared" si="8"/>
        <v>#REF!</v>
      </c>
      <c r="I84" s="306" t="e">
        <f t="shared" si="8"/>
        <v>#REF!</v>
      </c>
      <c r="J84" s="306" t="e">
        <f t="shared" si="8"/>
        <v>#REF!</v>
      </c>
      <c r="K84" s="306" t="e">
        <f t="shared" si="8"/>
        <v>#REF!</v>
      </c>
      <c r="L84" s="5" t="e">
        <f>SUM(L47:L83)</f>
        <v>#REF!</v>
      </c>
      <c r="M84" s="8" t="e">
        <f>SUM(M47:M83)</f>
        <v>#REF!</v>
      </c>
      <c r="N84" s="4" t="e">
        <f>SUM(N47:N83)</f>
        <v>#REF!</v>
      </c>
      <c r="O84" s="493"/>
      <c r="P84" s="493"/>
    </row>
    <row r="85" spans="2:16" hidden="1" x14ac:dyDescent="0.25">
      <c r="F85" s="306"/>
      <c r="G85" s="306"/>
      <c r="H85" s="306"/>
      <c r="I85" s="306" t="e">
        <f>F84-I84</f>
        <v>#REF!</v>
      </c>
      <c r="J85" s="306" t="e">
        <f>G84-J84</f>
        <v>#REF!</v>
      </c>
      <c r="K85" s="306" t="e">
        <f t="shared" ref="K85" si="9">H84-K84</f>
        <v>#REF!</v>
      </c>
      <c r="L85" s="493"/>
      <c r="M85" s="493"/>
      <c r="N85" s="493"/>
      <c r="O85" s="493"/>
      <c r="P85" s="493"/>
    </row>
    <row r="86" spans="2:16" hidden="1" x14ac:dyDescent="0.25">
      <c r="B86" s="18" t="s">
        <v>140</v>
      </c>
      <c r="I86" s="60"/>
    </row>
    <row r="87" spans="2:16" ht="15" hidden="1" customHeight="1" x14ac:dyDescent="0.25">
      <c r="B87" s="574" t="s">
        <v>1</v>
      </c>
      <c r="C87" s="576" t="s">
        <v>2</v>
      </c>
      <c r="D87" s="576" t="s">
        <v>22</v>
      </c>
      <c r="E87" s="584" t="s">
        <v>47</v>
      </c>
      <c r="F87" s="580" t="s">
        <v>48</v>
      </c>
      <c r="G87" s="573"/>
      <c r="H87" s="567"/>
      <c r="I87" s="580" t="s">
        <v>50</v>
      </c>
      <c r="J87" s="573"/>
      <c r="K87" s="567"/>
      <c r="L87" s="566" t="s">
        <v>136</v>
      </c>
      <c r="M87" s="573"/>
      <c r="N87" s="567"/>
      <c r="O87" s="18"/>
      <c r="P87" s="18"/>
    </row>
    <row r="88" spans="2:16" ht="15.75" hidden="1" thickBot="1" x14ac:dyDescent="0.3">
      <c r="B88" s="575"/>
      <c r="C88" s="577"/>
      <c r="D88" s="577"/>
      <c r="E88" s="585"/>
      <c r="F88" s="380" t="s">
        <v>35</v>
      </c>
      <c r="G88" s="381" t="s">
        <v>36</v>
      </c>
      <c r="H88" s="382" t="s">
        <v>37</v>
      </c>
      <c r="I88" s="380" t="s">
        <v>35</v>
      </c>
      <c r="J88" s="381" t="s">
        <v>36</v>
      </c>
      <c r="K88" s="382" t="s">
        <v>37</v>
      </c>
      <c r="L88" s="405" t="s">
        <v>35</v>
      </c>
      <c r="M88" s="381" t="s">
        <v>36</v>
      </c>
      <c r="N88" s="382" t="s">
        <v>37</v>
      </c>
      <c r="O88" s="474"/>
      <c r="P88" s="474"/>
    </row>
    <row r="89" spans="2:16" hidden="1" x14ac:dyDescent="0.25">
      <c r="B89" s="101">
        <v>2021</v>
      </c>
      <c r="C89" s="102">
        <v>0</v>
      </c>
      <c r="D89" s="138">
        <v>1</v>
      </c>
      <c r="E89" s="163" t="e">
        <f t="shared" ref="E89:E94" si="10">$E$95*(1+0.005)^(B89-$B$95)</f>
        <v>#REF!</v>
      </c>
      <c r="F89" s="164" t="e">
        <f>((#REF!*$E89*1*365)/1000000)</f>
        <v>#REF!</v>
      </c>
      <c r="G89" s="165" t="e">
        <f>((#REF!*$E89*1*365)/1000000)</f>
        <v>#REF!</v>
      </c>
      <c r="H89" s="166" t="e">
        <f>((#REF!*$E89*1*365)/1000000)</f>
        <v>#REF!</v>
      </c>
      <c r="I89" s="167">
        <v>0</v>
      </c>
      <c r="J89" s="168">
        <v>0</v>
      </c>
      <c r="K89" s="169">
        <v>0</v>
      </c>
      <c r="L89" s="438" t="e">
        <f>I89*#REF!*#REF!</f>
        <v>#REF!</v>
      </c>
      <c r="M89" s="437" t="e">
        <f>J89*#REF!*#REF!</f>
        <v>#REF!</v>
      </c>
      <c r="N89" s="170" t="e">
        <f>K89*#REF!*#REF!</f>
        <v>#REF!</v>
      </c>
      <c r="O89" s="53"/>
      <c r="P89" s="53"/>
    </row>
    <row r="90" spans="2:16" hidden="1" x14ac:dyDescent="0.25">
      <c r="B90" s="389">
        <v>2022</v>
      </c>
      <c r="C90" s="384">
        <v>0</v>
      </c>
      <c r="D90" s="139">
        <v>2</v>
      </c>
      <c r="E90" s="421" t="e">
        <f t="shared" si="10"/>
        <v>#REF!</v>
      </c>
      <c r="F90" s="410" t="e">
        <f>((#REF!*$E90*1*365)/1000000)</f>
        <v>#REF!</v>
      </c>
      <c r="G90" s="406" t="e">
        <f>((#REF!*$E90*1*365)/1000000)</f>
        <v>#REF!</v>
      </c>
      <c r="H90" s="411" t="e">
        <f>((#REF!*$E90*1*365)/1000000)</f>
        <v>#REF!</v>
      </c>
      <c r="I90" s="431">
        <v>0</v>
      </c>
      <c r="J90" s="415">
        <v>0</v>
      </c>
      <c r="K90" s="414">
        <v>0</v>
      </c>
      <c r="L90" s="149" t="e">
        <f>I90*#REF!*#REF!</f>
        <v>#REF!</v>
      </c>
      <c r="M90" s="144" t="e">
        <f>J90*#REF!*#REF!</f>
        <v>#REF!</v>
      </c>
      <c r="N90" s="161" t="e">
        <f>K90*#REF!*#REF!</f>
        <v>#REF!</v>
      </c>
      <c r="O90" s="53"/>
      <c r="P90" s="53"/>
    </row>
    <row r="91" spans="2:16" hidden="1" x14ac:dyDescent="0.25">
      <c r="B91" s="389">
        <v>2023</v>
      </c>
      <c r="C91" s="384">
        <v>0</v>
      </c>
      <c r="D91" s="139">
        <v>3</v>
      </c>
      <c r="E91" s="421" t="e">
        <f t="shared" si="10"/>
        <v>#REF!</v>
      </c>
      <c r="F91" s="410" t="e">
        <f>((#REF!*$E91*1*365)/1000000)</f>
        <v>#REF!</v>
      </c>
      <c r="G91" s="406" t="e">
        <f>((#REF!*$E91*1*365)/1000000)</f>
        <v>#REF!</v>
      </c>
      <c r="H91" s="411" t="e">
        <f>((#REF!*$E91*1*365)/1000000)</f>
        <v>#REF!</v>
      </c>
      <c r="I91" s="431">
        <v>0</v>
      </c>
      <c r="J91" s="415">
        <v>0</v>
      </c>
      <c r="K91" s="414">
        <v>0</v>
      </c>
      <c r="L91" s="149" t="e">
        <f>I91*#REF!*#REF!</f>
        <v>#REF!</v>
      </c>
      <c r="M91" s="144" t="e">
        <f>J91*#REF!*#REF!</f>
        <v>#REF!</v>
      </c>
      <c r="N91" s="161" t="e">
        <f>K91*#REF!*#REF!</f>
        <v>#REF!</v>
      </c>
      <c r="O91" s="53"/>
      <c r="P91" s="53"/>
    </row>
    <row r="92" spans="2:16" hidden="1" x14ac:dyDescent="0.25">
      <c r="B92" s="389">
        <v>2024</v>
      </c>
      <c r="C92" s="384">
        <v>0</v>
      </c>
      <c r="D92" s="139">
        <v>4</v>
      </c>
      <c r="E92" s="421" t="e">
        <f t="shared" si="10"/>
        <v>#REF!</v>
      </c>
      <c r="F92" s="410" t="e">
        <f>((#REF!*$E92*1*365)/1000000)</f>
        <v>#REF!</v>
      </c>
      <c r="G92" s="406" t="e">
        <f>((#REF!*$E92*1*365)/1000000)</f>
        <v>#REF!</v>
      </c>
      <c r="H92" s="411" t="e">
        <f>((#REF!*$E92*1*365)/1000000)</f>
        <v>#REF!</v>
      </c>
      <c r="I92" s="431">
        <v>0</v>
      </c>
      <c r="J92" s="415">
        <v>0</v>
      </c>
      <c r="K92" s="414">
        <v>0</v>
      </c>
      <c r="L92" s="149" t="e">
        <f>I92*#REF!*#REF!</f>
        <v>#REF!</v>
      </c>
      <c r="M92" s="144" t="e">
        <f>J92*#REF!*#REF!</f>
        <v>#REF!</v>
      </c>
      <c r="N92" s="161" t="e">
        <f>K92*#REF!*#REF!</f>
        <v>#REF!</v>
      </c>
      <c r="O92" s="53"/>
      <c r="P92" s="53"/>
    </row>
    <row r="93" spans="2:16" hidden="1" x14ac:dyDescent="0.25">
      <c r="B93" s="389">
        <v>2025</v>
      </c>
      <c r="C93" s="384">
        <v>0</v>
      </c>
      <c r="D93" s="139">
        <v>5</v>
      </c>
      <c r="E93" s="421" t="e">
        <f t="shared" si="10"/>
        <v>#REF!</v>
      </c>
      <c r="F93" s="410" t="e">
        <f>((#REF!*$E93*1*365)/1000000)</f>
        <v>#REF!</v>
      </c>
      <c r="G93" s="406" t="e">
        <f>((#REF!*$E93*1*365)/1000000)</f>
        <v>#REF!</v>
      </c>
      <c r="H93" s="411" t="e">
        <f>((#REF!*$E93*1*365)/1000000)</f>
        <v>#REF!</v>
      </c>
      <c r="I93" s="431">
        <v>0</v>
      </c>
      <c r="J93" s="415">
        <v>0</v>
      </c>
      <c r="K93" s="414">
        <v>0</v>
      </c>
      <c r="L93" s="149" t="e">
        <f>I93*#REF!*#REF!</f>
        <v>#REF!</v>
      </c>
      <c r="M93" s="144" t="e">
        <f>J93*#REF!*#REF!</f>
        <v>#REF!</v>
      </c>
      <c r="N93" s="161" t="e">
        <f>K93*#REF!*#REF!</f>
        <v>#REF!</v>
      </c>
      <c r="O93" s="53"/>
      <c r="P93" s="53"/>
    </row>
    <row r="94" spans="2:16" hidden="1" x14ac:dyDescent="0.25">
      <c r="B94" s="389">
        <v>2026</v>
      </c>
      <c r="C94" s="384">
        <v>0</v>
      </c>
      <c r="D94" s="139">
        <v>6</v>
      </c>
      <c r="E94" s="421" t="e">
        <f t="shared" si="10"/>
        <v>#REF!</v>
      </c>
      <c r="F94" s="410" t="e">
        <f>((#REF!*$E94*1*365)/1000000)</f>
        <v>#REF!</v>
      </c>
      <c r="G94" s="406" t="e">
        <f>((#REF!*$E94*1*365)/1000000)</f>
        <v>#REF!</v>
      </c>
      <c r="H94" s="411" t="e">
        <f>((#REF!*$E94*1*365)/1000000)</f>
        <v>#REF!</v>
      </c>
      <c r="I94" s="431">
        <v>0</v>
      </c>
      <c r="J94" s="415">
        <v>0</v>
      </c>
      <c r="K94" s="414">
        <v>0</v>
      </c>
      <c r="L94" s="149" t="e">
        <f>I94*#REF!*#REF!</f>
        <v>#REF!</v>
      </c>
      <c r="M94" s="144" t="e">
        <f>J94*#REF!*#REF!</f>
        <v>#REF!</v>
      </c>
      <c r="N94" s="161" t="e">
        <f>K94*#REF!*#REF!</f>
        <v>#REF!</v>
      </c>
      <c r="O94" s="53"/>
      <c r="P94" s="53"/>
    </row>
    <row r="95" spans="2:16" hidden="1" x14ac:dyDescent="0.25">
      <c r="B95" s="391">
        <v>2027</v>
      </c>
      <c r="C95" s="385">
        <v>1</v>
      </c>
      <c r="D95" s="140">
        <v>7</v>
      </c>
      <c r="E95" s="422" t="e">
        <f>#REF!</f>
        <v>#REF!</v>
      </c>
      <c r="F95" s="425" t="e">
        <f>((#REF!*$E95*1*365)/1000000)</f>
        <v>#REF!</v>
      </c>
      <c r="G95" s="416" t="e">
        <f>((#REF!*$E95*1*365)/1000000)</f>
        <v>#REF!</v>
      </c>
      <c r="H95" s="426" t="e">
        <f>((#REF!*$E95*1*365)/1000000)</f>
        <v>#REF!</v>
      </c>
      <c r="I95" s="425" t="e">
        <f>F95-(F95*#REF!)</f>
        <v>#REF!</v>
      </c>
      <c r="J95" s="416" t="e">
        <f>G95-(G95*#REF!)</f>
        <v>#REF!</v>
      </c>
      <c r="K95" s="426" t="e">
        <f>H95-(H95*#REF!)</f>
        <v>#REF!</v>
      </c>
      <c r="L95" s="150" t="e">
        <f>I95*#REF!*#REF!</f>
        <v>#REF!</v>
      </c>
      <c r="M95" s="145" t="e">
        <f>J95*#REF!*#REF!</f>
        <v>#REF!</v>
      </c>
      <c r="N95" s="162" t="e">
        <f>K95*#REF!*#REF!</f>
        <v>#REF!</v>
      </c>
      <c r="O95" s="53"/>
      <c r="P95" s="53"/>
    </row>
    <row r="96" spans="2:16" hidden="1" x14ac:dyDescent="0.25">
      <c r="B96" s="393">
        <v>2028</v>
      </c>
      <c r="C96" s="386">
        <v>2</v>
      </c>
      <c r="D96" s="141">
        <v>8</v>
      </c>
      <c r="E96" s="475" t="e">
        <f t="shared" ref="E96:E125" si="11">$E$95*(1+0.005)^(B96-$B$95)</f>
        <v>#REF!</v>
      </c>
      <c r="F96" s="427" t="e">
        <f>((#REF!*$E96*1*365)/1000000)</f>
        <v>#REF!</v>
      </c>
      <c r="G96" s="417" t="e">
        <f>((#REF!*$E96*1*365)/1000000)</f>
        <v>#REF!</v>
      </c>
      <c r="H96" s="428" t="e">
        <f>((#REF!*$E96*1*365)/1000000)</f>
        <v>#REF!</v>
      </c>
      <c r="I96" s="427" t="e">
        <f>F96-(F96*#REF!)</f>
        <v>#REF!</v>
      </c>
      <c r="J96" s="417" t="e">
        <f>G96-(G96*#REF!)</f>
        <v>#REF!</v>
      </c>
      <c r="K96" s="428" t="e">
        <f>H96-(H96*#REF!)</f>
        <v>#REF!</v>
      </c>
      <c r="L96" s="483" t="e">
        <f>I96*#REF!*#REF!</f>
        <v>#REF!</v>
      </c>
      <c r="M96" s="484" t="e">
        <f>J96*#REF!*#REF!</f>
        <v>#REF!</v>
      </c>
      <c r="N96" s="485" t="e">
        <f>K96*#REF!*#REF!</f>
        <v>#REF!</v>
      </c>
      <c r="O96" s="53"/>
      <c r="P96" s="53"/>
    </row>
    <row r="97" spans="2:16" hidden="1" x14ac:dyDescent="0.25">
      <c r="B97" s="395">
        <v>2029</v>
      </c>
      <c r="C97" s="387">
        <v>3</v>
      </c>
      <c r="D97" s="142">
        <v>9</v>
      </c>
      <c r="E97" s="475" t="e">
        <f t="shared" si="11"/>
        <v>#REF!</v>
      </c>
      <c r="F97" s="427" t="e">
        <f>((#REF!*$E97*1*365)/1000000)</f>
        <v>#REF!</v>
      </c>
      <c r="G97" s="417" t="e">
        <f>((#REF!*$E97*1*365)/1000000)</f>
        <v>#REF!</v>
      </c>
      <c r="H97" s="428" t="e">
        <f>((#REF!*$E97*1*365)/1000000)</f>
        <v>#REF!</v>
      </c>
      <c r="I97" s="427" t="e">
        <f>F97-(F97*#REF!)</f>
        <v>#REF!</v>
      </c>
      <c r="J97" s="417" t="e">
        <f>G97-(G97*#REF!)</f>
        <v>#REF!</v>
      </c>
      <c r="K97" s="428" t="e">
        <f>H97-(H97*#REF!)</f>
        <v>#REF!</v>
      </c>
      <c r="L97" s="483" t="e">
        <f>I97*#REF!*#REF!</f>
        <v>#REF!</v>
      </c>
      <c r="M97" s="484" t="e">
        <f>J97*#REF!*#REF!</f>
        <v>#REF!</v>
      </c>
      <c r="N97" s="485" t="e">
        <f>K97*#REF!*#REF!</f>
        <v>#REF!</v>
      </c>
      <c r="O97" s="53"/>
      <c r="P97" s="53"/>
    </row>
    <row r="98" spans="2:16" hidden="1" x14ac:dyDescent="0.25">
      <c r="B98" s="393">
        <v>2030</v>
      </c>
      <c r="C98" s="387">
        <v>4</v>
      </c>
      <c r="D98" s="142">
        <v>10</v>
      </c>
      <c r="E98" s="475" t="e">
        <f t="shared" si="11"/>
        <v>#REF!</v>
      </c>
      <c r="F98" s="427" t="e">
        <f>((#REF!*$E98*1*365)/1000000)</f>
        <v>#REF!</v>
      </c>
      <c r="G98" s="417" t="e">
        <f>((#REF!*$E98*1*365)/1000000)</f>
        <v>#REF!</v>
      </c>
      <c r="H98" s="428" t="e">
        <f>((#REF!*$E98*1*365)/1000000)</f>
        <v>#REF!</v>
      </c>
      <c r="I98" s="427" t="e">
        <f>F98-(F98*#REF!)</f>
        <v>#REF!</v>
      </c>
      <c r="J98" s="417" t="e">
        <f>G98-(G98*#REF!)</f>
        <v>#REF!</v>
      </c>
      <c r="K98" s="428" t="e">
        <f>H98-(H98*#REF!)</f>
        <v>#REF!</v>
      </c>
      <c r="L98" s="483" t="e">
        <f>I98*#REF!*#REF!</f>
        <v>#REF!</v>
      </c>
      <c r="M98" s="484" t="e">
        <f>J98*#REF!*#REF!</f>
        <v>#REF!</v>
      </c>
      <c r="N98" s="485" t="e">
        <f>K98*#REF!*#REF!</f>
        <v>#REF!</v>
      </c>
      <c r="O98" s="53"/>
      <c r="P98" s="53"/>
    </row>
    <row r="99" spans="2:16" hidden="1" x14ac:dyDescent="0.25">
      <c r="B99" s="395">
        <v>2031</v>
      </c>
      <c r="C99" s="387">
        <v>5</v>
      </c>
      <c r="D99" s="142">
        <v>11</v>
      </c>
      <c r="E99" s="475" t="e">
        <f t="shared" si="11"/>
        <v>#REF!</v>
      </c>
      <c r="F99" s="427" t="e">
        <f>((#REF!*$E99*1*365)/1000000)</f>
        <v>#REF!</v>
      </c>
      <c r="G99" s="417" t="e">
        <f>((#REF!*$E99*1*365)/1000000)</f>
        <v>#REF!</v>
      </c>
      <c r="H99" s="428" t="e">
        <f>((#REF!*$E99*1*365)/1000000)</f>
        <v>#REF!</v>
      </c>
      <c r="I99" s="427" t="e">
        <f>F99-(F99*#REF!)</f>
        <v>#REF!</v>
      </c>
      <c r="J99" s="417" t="e">
        <f>G99-(G99*#REF!)</f>
        <v>#REF!</v>
      </c>
      <c r="K99" s="428" t="e">
        <f>H99-(H99*#REF!)</f>
        <v>#REF!</v>
      </c>
      <c r="L99" s="483" t="e">
        <f>I99*#REF!*#REF!</f>
        <v>#REF!</v>
      </c>
      <c r="M99" s="484" t="e">
        <f>J99*#REF!*#REF!</f>
        <v>#REF!</v>
      </c>
      <c r="N99" s="485" t="e">
        <f>K99*#REF!*#REF!</f>
        <v>#REF!</v>
      </c>
      <c r="O99" s="53"/>
      <c r="P99" s="53"/>
    </row>
    <row r="100" spans="2:16" hidden="1" x14ac:dyDescent="0.25">
      <c r="B100" s="393">
        <v>2032</v>
      </c>
      <c r="C100" s="387">
        <v>6</v>
      </c>
      <c r="D100" s="142">
        <v>12</v>
      </c>
      <c r="E100" s="475" t="e">
        <f t="shared" si="11"/>
        <v>#REF!</v>
      </c>
      <c r="F100" s="427" t="e">
        <f>((#REF!*$E100*1*365)/1000000)</f>
        <v>#REF!</v>
      </c>
      <c r="G100" s="417" t="e">
        <f>((#REF!*$E100*1*365)/1000000)</f>
        <v>#REF!</v>
      </c>
      <c r="H100" s="428" t="e">
        <f>((#REF!*$E100*1*365)/1000000)</f>
        <v>#REF!</v>
      </c>
      <c r="I100" s="427" t="e">
        <f>F100-(F100*#REF!)</f>
        <v>#REF!</v>
      </c>
      <c r="J100" s="417" t="e">
        <f>G100-(G100*#REF!)</f>
        <v>#REF!</v>
      </c>
      <c r="K100" s="428" t="e">
        <f>H100-(H100*#REF!)</f>
        <v>#REF!</v>
      </c>
      <c r="L100" s="483" t="e">
        <f>I100*#REF!*#REF!</f>
        <v>#REF!</v>
      </c>
      <c r="M100" s="484" t="e">
        <f>J100*#REF!*#REF!</f>
        <v>#REF!</v>
      </c>
      <c r="N100" s="485" t="e">
        <f>K100*#REF!*#REF!</f>
        <v>#REF!</v>
      </c>
      <c r="O100" s="53"/>
      <c r="P100" s="53"/>
    </row>
    <row r="101" spans="2:16" hidden="1" x14ac:dyDescent="0.25">
      <c r="B101" s="395">
        <v>2033</v>
      </c>
      <c r="C101" s="387">
        <v>7</v>
      </c>
      <c r="D101" s="142">
        <v>13</v>
      </c>
      <c r="E101" s="475" t="e">
        <f t="shared" si="11"/>
        <v>#REF!</v>
      </c>
      <c r="F101" s="427" t="e">
        <f>((#REF!*$E101*1*365)/1000000)</f>
        <v>#REF!</v>
      </c>
      <c r="G101" s="417" t="e">
        <f>((#REF!*$E101*1*365)/1000000)</f>
        <v>#REF!</v>
      </c>
      <c r="H101" s="428" t="e">
        <f>((#REF!*$E101*1*365)/1000000)</f>
        <v>#REF!</v>
      </c>
      <c r="I101" s="427" t="e">
        <f>F101-(F101*#REF!)</f>
        <v>#REF!</v>
      </c>
      <c r="J101" s="417" t="e">
        <f>G101-(G101*#REF!)</f>
        <v>#REF!</v>
      </c>
      <c r="K101" s="428" t="e">
        <f>H101-(H101*#REF!)</f>
        <v>#REF!</v>
      </c>
      <c r="L101" s="483" t="e">
        <f>I101*#REF!*#REF!</f>
        <v>#REF!</v>
      </c>
      <c r="M101" s="484" t="e">
        <f>J101*#REF!*#REF!</f>
        <v>#REF!</v>
      </c>
      <c r="N101" s="485" t="e">
        <f>K101*#REF!*#REF!</f>
        <v>#REF!</v>
      </c>
      <c r="O101" s="53"/>
      <c r="P101" s="53"/>
    </row>
    <row r="102" spans="2:16" hidden="1" x14ac:dyDescent="0.25">
      <c r="B102" s="393">
        <v>2034</v>
      </c>
      <c r="C102" s="387">
        <v>8</v>
      </c>
      <c r="D102" s="142">
        <v>14</v>
      </c>
      <c r="E102" s="475" t="e">
        <f t="shared" si="11"/>
        <v>#REF!</v>
      </c>
      <c r="F102" s="427" t="e">
        <f>((#REF!*$E102*1*365)/1000000)</f>
        <v>#REF!</v>
      </c>
      <c r="G102" s="417" t="e">
        <f>((#REF!*$E102*1*365)/1000000)</f>
        <v>#REF!</v>
      </c>
      <c r="H102" s="428" t="e">
        <f>((#REF!*$E102*1*365)/1000000)</f>
        <v>#REF!</v>
      </c>
      <c r="I102" s="427" t="e">
        <f>F102-(F102*#REF!)</f>
        <v>#REF!</v>
      </c>
      <c r="J102" s="417" t="e">
        <f>G102-(G102*#REF!)</f>
        <v>#REF!</v>
      </c>
      <c r="K102" s="428" t="e">
        <f>H102-(H102*#REF!)</f>
        <v>#REF!</v>
      </c>
      <c r="L102" s="483" t="e">
        <f>I102*#REF!*#REF!</f>
        <v>#REF!</v>
      </c>
      <c r="M102" s="484" t="e">
        <f>J102*#REF!*#REF!</f>
        <v>#REF!</v>
      </c>
      <c r="N102" s="485" t="e">
        <f>K102*#REF!*#REF!</f>
        <v>#REF!</v>
      </c>
      <c r="O102" s="53"/>
      <c r="P102" s="53"/>
    </row>
    <row r="103" spans="2:16" hidden="1" x14ac:dyDescent="0.25">
      <c r="B103" s="395">
        <v>2035</v>
      </c>
      <c r="C103" s="387">
        <v>9</v>
      </c>
      <c r="D103" s="142">
        <v>15</v>
      </c>
      <c r="E103" s="475" t="e">
        <f t="shared" si="11"/>
        <v>#REF!</v>
      </c>
      <c r="F103" s="427" t="e">
        <f>((#REF!*$E103*1*365)/1000000)</f>
        <v>#REF!</v>
      </c>
      <c r="G103" s="417" t="e">
        <f>((#REF!*$E103*1*365)/1000000)</f>
        <v>#REF!</v>
      </c>
      <c r="H103" s="428" t="e">
        <f>((#REF!*$E103*1*365)/1000000)</f>
        <v>#REF!</v>
      </c>
      <c r="I103" s="427" t="e">
        <f>F103-(F103*#REF!)</f>
        <v>#REF!</v>
      </c>
      <c r="J103" s="417" t="e">
        <f>G103-(G103*#REF!)</f>
        <v>#REF!</v>
      </c>
      <c r="K103" s="428" t="e">
        <f>H103-(H103*#REF!)</f>
        <v>#REF!</v>
      </c>
      <c r="L103" s="483" t="e">
        <f>I103*#REF!*#REF!</f>
        <v>#REF!</v>
      </c>
      <c r="M103" s="484" t="e">
        <f>J103*#REF!*#REF!</f>
        <v>#REF!</v>
      </c>
      <c r="N103" s="485" t="e">
        <f>K103*#REF!*#REF!</f>
        <v>#REF!</v>
      </c>
      <c r="O103" s="53"/>
      <c r="P103" s="53"/>
    </row>
    <row r="104" spans="2:16" hidden="1" x14ac:dyDescent="0.25">
      <c r="B104" s="393">
        <v>2036</v>
      </c>
      <c r="C104" s="387">
        <v>10</v>
      </c>
      <c r="D104" s="142">
        <v>16</v>
      </c>
      <c r="E104" s="475" t="e">
        <f t="shared" si="11"/>
        <v>#REF!</v>
      </c>
      <c r="F104" s="427" t="e">
        <f>((#REF!*$E104*1*365)/1000000)</f>
        <v>#REF!</v>
      </c>
      <c r="G104" s="417" t="e">
        <f>((#REF!*$E104*1*365)/1000000)</f>
        <v>#REF!</v>
      </c>
      <c r="H104" s="428" t="e">
        <f>((#REF!*$E104*1*365)/1000000)</f>
        <v>#REF!</v>
      </c>
      <c r="I104" s="427" t="e">
        <f>F104-(F104*#REF!)</f>
        <v>#REF!</v>
      </c>
      <c r="J104" s="417" t="e">
        <f>G104-(G104*#REF!)</f>
        <v>#REF!</v>
      </c>
      <c r="K104" s="428" t="e">
        <f>H104-(H104*#REF!)</f>
        <v>#REF!</v>
      </c>
      <c r="L104" s="483" t="e">
        <f>I104*#REF!*#REF!</f>
        <v>#REF!</v>
      </c>
      <c r="M104" s="484" t="e">
        <f>J104*#REF!*#REF!</f>
        <v>#REF!</v>
      </c>
      <c r="N104" s="485" t="e">
        <f>K104*#REF!*#REF!</f>
        <v>#REF!</v>
      </c>
      <c r="O104" s="53"/>
      <c r="P104" s="53"/>
    </row>
    <row r="105" spans="2:16" hidden="1" x14ac:dyDescent="0.25">
      <c r="B105" s="395">
        <v>2037</v>
      </c>
      <c r="C105" s="387">
        <v>11</v>
      </c>
      <c r="D105" s="142">
        <v>17</v>
      </c>
      <c r="E105" s="475" t="e">
        <f t="shared" si="11"/>
        <v>#REF!</v>
      </c>
      <c r="F105" s="427" t="e">
        <f>((#REF!*$E105*1*365)/1000000)</f>
        <v>#REF!</v>
      </c>
      <c r="G105" s="417" t="e">
        <f>((#REF!*$E105*1*365)/1000000)</f>
        <v>#REF!</v>
      </c>
      <c r="H105" s="428" t="e">
        <f>((#REF!*$E105*1*365)/1000000)</f>
        <v>#REF!</v>
      </c>
      <c r="I105" s="427" t="e">
        <f>F105-(F105*#REF!)</f>
        <v>#REF!</v>
      </c>
      <c r="J105" s="417" t="e">
        <f>G105-(G105*#REF!)</f>
        <v>#REF!</v>
      </c>
      <c r="K105" s="428" t="e">
        <f>H105-(H105*#REF!)</f>
        <v>#REF!</v>
      </c>
      <c r="L105" s="483" t="e">
        <f>I105*#REF!*#REF!</f>
        <v>#REF!</v>
      </c>
      <c r="M105" s="484" t="e">
        <f>J105*#REF!*#REF!</f>
        <v>#REF!</v>
      </c>
      <c r="N105" s="485" t="e">
        <f>K105*#REF!*#REF!</f>
        <v>#REF!</v>
      </c>
      <c r="O105" s="53"/>
      <c r="P105" s="53"/>
    </row>
    <row r="106" spans="2:16" hidden="1" x14ac:dyDescent="0.25">
      <c r="B106" s="393">
        <v>2038</v>
      </c>
      <c r="C106" s="387">
        <v>12</v>
      </c>
      <c r="D106" s="142">
        <v>18</v>
      </c>
      <c r="E106" s="475" t="e">
        <f t="shared" si="11"/>
        <v>#REF!</v>
      </c>
      <c r="F106" s="427" t="e">
        <f>((#REF!*$E106*1*365)/1000000)</f>
        <v>#REF!</v>
      </c>
      <c r="G106" s="417" t="e">
        <f>((#REF!*$E106*1*365)/1000000)</f>
        <v>#REF!</v>
      </c>
      <c r="H106" s="428" t="e">
        <f>((#REF!*$E106*1*365)/1000000)</f>
        <v>#REF!</v>
      </c>
      <c r="I106" s="427" t="e">
        <f>F106-(F106*#REF!)</f>
        <v>#REF!</v>
      </c>
      <c r="J106" s="417" t="e">
        <f>G106-(G106*#REF!)</f>
        <v>#REF!</v>
      </c>
      <c r="K106" s="428" t="e">
        <f>H106-(H106*#REF!)</f>
        <v>#REF!</v>
      </c>
      <c r="L106" s="483" t="e">
        <f>I106*#REF!*#REF!</f>
        <v>#REF!</v>
      </c>
      <c r="M106" s="484" t="e">
        <f>J106*#REF!*#REF!</f>
        <v>#REF!</v>
      </c>
      <c r="N106" s="485" t="e">
        <f>K106*#REF!*#REF!</f>
        <v>#REF!</v>
      </c>
      <c r="O106" s="53"/>
      <c r="P106" s="53"/>
    </row>
    <row r="107" spans="2:16" hidden="1" x14ac:dyDescent="0.25">
      <c r="B107" s="395">
        <v>2039</v>
      </c>
      <c r="C107" s="387">
        <v>13</v>
      </c>
      <c r="D107" s="142">
        <v>19</v>
      </c>
      <c r="E107" s="475" t="e">
        <f t="shared" si="11"/>
        <v>#REF!</v>
      </c>
      <c r="F107" s="427" t="e">
        <f>((#REF!*$E107*1*365)/1000000)</f>
        <v>#REF!</v>
      </c>
      <c r="G107" s="417" t="e">
        <f>((#REF!*$E107*1*365)/1000000)</f>
        <v>#REF!</v>
      </c>
      <c r="H107" s="428" t="e">
        <f>((#REF!*$E107*1*365)/1000000)</f>
        <v>#REF!</v>
      </c>
      <c r="I107" s="427" t="e">
        <f>F107-(F107*#REF!)</f>
        <v>#REF!</v>
      </c>
      <c r="J107" s="417" t="e">
        <f>G107-(G107*#REF!)</f>
        <v>#REF!</v>
      </c>
      <c r="K107" s="428" t="e">
        <f>H107-(H107*#REF!)</f>
        <v>#REF!</v>
      </c>
      <c r="L107" s="483" t="e">
        <f>I107*#REF!*#REF!</f>
        <v>#REF!</v>
      </c>
      <c r="M107" s="484" t="e">
        <f>J107*#REF!*#REF!</f>
        <v>#REF!</v>
      </c>
      <c r="N107" s="485" t="e">
        <f>K107*#REF!*#REF!</f>
        <v>#REF!</v>
      </c>
      <c r="O107" s="53"/>
      <c r="P107" s="53"/>
    </row>
    <row r="108" spans="2:16" hidden="1" x14ac:dyDescent="0.25">
      <c r="B108" s="393">
        <v>2040</v>
      </c>
      <c r="C108" s="387">
        <v>14</v>
      </c>
      <c r="D108" s="142">
        <v>20</v>
      </c>
      <c r="E108" s="475" t="e">
        <f t="shared" si="11"/>
        <v>#REF!</v>
      </c>
      <c r="F108" s="427" t="e">
        <f>((#REF!*$E108*1*365)/1000000)</f>
        <v>#REF!</v>
      </c>
      <c r="G108" s="417" t="e">
        <f>((#REF!*$E108*1*365)/1000000)</f>
        <v>#REF!</v>
      </c>
      <c r="H108" s="428" t="e">
        <f>((#REF!*$E108*1*365)/1000000)</f>
        <v>#REF!</v>
      </c>
      <c r="I108" s="427" t="e">
        <f>F108-(F108*#REF!)</f>
        <v>#REF!</v>
      </c>
      <c r="J108" s="417" t="e">
        <f>G108-(G108*#REF!)</f>
        <v>#REF!</v>
      </c>
      <c r="K108" s="428" t="e">
        <f>H108-(H108*#REF!)</f>
        <v>#REF!</v>
      </c>
      <c r="L108" s="483" t="e">
        <f>I108*#REF!*#REF!</f>
        <v>#REF!</v>
      </c>
      <c r="M108" s="484" t="e">
        <f>J108*#REF!*#REF!</f>
        <v>#REF!</v>
      </c>
      <c r="N108" s="485" t="e">
        <f>K108*#REF!*#REF!</f>
        <v>#REF!</v>
      </c>
      <c r="O108" s="53"/>
      <c r="P108" s="53"/>
    </row>
    <row r="109" spans="2:16" hidden="1" x14ac:dyDescent="0.25">
      <c r="B109" s="395">
        <v>2041</v>
      </c>
      <c r="C109" s="387">
        <v>15</v>
      </c>
      <c r="D109" s="142">
        <v>21</v>
      </c>
      <c r="E109" s="475" t="e">
        <f t="shared" si="11"/>
        <v>#REF!</v>
      </c>
      <c r="F109" s="427" t="e">
        <f>((#REF!*$E109*1*365)/1000000)</f>
        <v>#REF!</v>
      </c>
      <c r="G109" s="417" t="e">
        <f>((#REF!*$E109*1*365)/1000000)</f>
        <v>#REF!</v>
      </c>
      <c r="H109" s="428" t="e">
        <f>((#REF!*$E109*1*365)/1000000)</f>
        <v>#REF!</v>
      </c>
      <c r="I109" s="427" t="e">
        <f>F109-(F109*#REF!)</f>
        <v>#REF!</v>
      </c>
      <c r="J109" s="417" t="e">
        <f>G109-(G109*#REF!)</f>
        <v>#REF!</v>
      </c>
      <c r="K109" s="428" t="e">
        <f>H109-(H109*#REF!)</f>
        <v>#REF!</v>
      </c>
      <c r="L109" s="483" t="e">
        <f>I109*#REF!*#REF!</f>
        <v>#REF!</v>
      </c>
      <c r="M109" s="484" t="e">
        <f>J109*#REF!*#REF!</f>
        <v>#REF!</v>
      </c>
      <c r="N109" s="485" t="e">
        <f>K109*#REF!*#REF!</f>
        <v>#REF!</v>
      </c>
      <c r="O109" s="53"/>
      <c r="P109" s="53"/>
    </row>
    <row r="110" spans="2:16" hidden="1" x14ac:dyDescent="0.25">
      <c r="B110" s="393">
        <v>2042</v>
      </c>
      <c r="C110" s="387">
        <v>16</v>
      </c>
      <c r="D110" s="142">
        <v>22</v>
      </c>
      <c r="E110" s="475" t="e">
        <f t="shared" si="11"/>
        <v>#REF!</v>
      </c>
      <c r="F110" s="427" t="e">
        <f>((#REF!*$E110*1*365)/1000000)</f>
        <v>#REF!</v>
      </c>
      <c r="G110" s="417" t="e">
        <f>((#REF!*$E110*1*365)/1000000)</f>
        <v>#REF!</v>
      </c>
      <c r="H110" s="428" t="e">
        <f>((#REF!*$E110*1*365)/1000000)</f>
        <v>#REF!</v>
      </c>
      <c r="I110" s="427" t="e">
        <f>F110-(F110*#REF!)</f>
        <v>#REF!</v>
      </c>
      <c r="J110" s="417" t="e">
        <f>G110-(G110*#REF!)</f>
        <v>#REF!</v>
      </c>
      <c r="K110" s="428" t="e">
        <f>H110-(H110*#REF!)</f>
        <v>#REF!</v>
      </c>
      <c r="L110" s="483" t="e">
        <f>I110*#REF!*#REF!</f>
        <v>#REF!</v>
      </c>
      <c r="M110" s="484" t="e">
        <f>J110*#REF!*#REF!</f>
        <v>#REF!</v>
      </c>
      <c r="N110" s="485" t="e">
        <f>K110*#REF!*#REF!</f>
        <v>#REF!</v>
      </c>
      <c r="O110" s="53"/>
      <c r="P110" s="53"/>
    </row>
    <row r="111" spans="2:16" hidden="1" x14ac:dyDescent="0.25">
      <c r="B111" s="395">
        <v>2043</v>
      </c>
      <c r="C111" s="387">
        <v>17</v>
      </c>
      <c r="D111" s="142">
        <v>23</v>
      </c>
      <c r="E111" s="475" t="e">
        <f t="shared" si="11"/>
        <v>#REF!</v>
      </c>
      <c r="F111" s="427" t="e">
        <f>((#REF!*$E111*1*365)/1000000)</f>
        <v>#REF!</v>
      </c>
      <c r="G111" s="417" t="e">
        <f>((#REF!*$E111*1*365)/1000000)</f>
        <v>#REF!</v>
      </c>
      <c r="H111" s="428" t="e">
        <f>((#REF!*$E111*1*365)/1000000)</f>
        <v>#REF!</v>
      </c>
      <c r="I111" s="427" t="e">
        <f>F111-(F111*#REF!)</f>
        <v>#REF!</v>
      </c>
      <c r="J111" s="417" t="e">
        <f>G111-(G111*#REF!)</f>
        <v>#REF!</v>
      </c>
      <c r="K111" s="428" t="e">
        <f>H111-(H111*#REF!)</f>
        <v>#REF!</v>
      </c>
      <c r="L111" s="483" t="e">
        <f>I111*#REF!*#REF!</f>
        <v>#REF!</v>
      </c>
      <c r="M111" s="484" t="e">
        <f>J111*#REF!*#REF!</f>
        <v>#REF!</v>
      </c>
      <c r="N111" s="485" t="e">
        <f>K111*#REF!*#REF!</f>
        <v>#REF!</v>
      </c>
      <c r="O111" s="53"/>
      <c r="P111" s="53"/>
    </row>
    <row r="112" spans="2:16" hidden="1" x14ac:dyDescent="0.25">
      <c r="B112" s="393">
        <v>2044</v>
      </c>
      <c r="C112" s="387">
        <v>18</v>
      </c>
      <c r="D112" s="142">
        <v>24</v>
      </c>
      <c r="E112" s="475" t="e">
        <f t="shared" si="11"/>
        <v>#REF!</v>
      </c>
      <c r="F112" s="427" t="e">
        <f>((#REF!*$E112*1*365)/1000000)</f>
        <v>#REF!</v>
      </c>
      <c r="G112" s="417" t="e">
        <f>((#REF!*$E112*1*365)/1000000)</f>
        <v>#REF!</v>
      </c>
      <c r="H112" s="428" t="e">
        <f>((#REF!*$E112*1*365)/1000000)</f>
        <v>#REF!</v>
      </c>
      <c r="I112" s="427" t="e">
        <f>F112-(F112*#REF!)</f>
        <v>#REF!</v>
      </c>
      <c r="J112" s="417" t="e">
        <f>G112-(G112*#REF!)</f>
        <v>#REF!</v>
      </c>
      <c r="K112" s="428" t="e">
        <f>H112-(H112*#REF!)</f>
        <v>#REF!</v>
      </c>
      <c r="L112" s="483" t="e">
        <f>I112*#REF!*#REF!</f>
        <v>#REF!</v>
      </c>
      <c r="M112" s="484" t="e">
        <f>J112*#REF!*#REF!</f>
        <v>#REF!</v>
      </c>
      <c r="N112" s="485" t="e">
        <f>K112*#REF!*#REF!</f>
        <v>#REF!</v>
      </c>
      <c r="O112" s="53"/>
      <c r="P112" s="53"/>
    </row>
    <row r="113" spans="2:16" hidden="1" x14ac:dyDescent="0.25">
      <c r="B113" s="395">
        <v>2045</v>
      </c>
      <c r="C113" s="387">
        <v>19</v>
      </c>
      <c r="D113" s="142">
        <v>25</v>
      </c>
      <c r="E113" s="475" t="e">
        <f t="shared" si="11"/>
        <v>#REF!</v>
      </c>
      <c r="F113" s="427" t="e">
        <f>((#REF!*$E113*1*365)/1000000)</f>
        <v>#REF!</v>
      </c>
      <c r="G113" s="417" t="e">
        <f>((#REF!*$E113*1*365)/1000000)</f>
        <v>#REF!</v>
      </c>
      <c r="H113" s="428" t="e">
        <f>((#REF!*$E113*1*365)/1000000)</f>
        <v>#REF!</v>
      </c>
      <c r="I113" s="427" t="e">
        <f>F113-(F113*#REF!)</f>
        <v>#REF!</v>
      </c>
      <c r="J113" s="417" t="e">
        <f>G113-(G113*#REF!)</f>
        <v>#REF!</v>
      </c>
      <c r="K113" s="428" t="e">
        <f>H113-(H113*#REF!)</f>
        <v>#REF!</v>
      </c>
      <c r="L113" s="483" t="e">
        <f>I113*#REF!*#REF!</f>
        <v>#REF!</v>
      </c>
      <c r="M113" s="484" t="e">
        <f>J113*#REF!*#REF!</f>
        <v>#REF!</v>
      </c>
      <c r="N113" s="485" t="e">
        <f>K113*#REF!*#REF!</f>
        <v>#REF!</v>
      </c>
      <c r="O113" s="53"/>
      <c r="P113" s="53"/>
    </row>
    <row r="114" spans="2:16" hidden="1" x14ac:dyDescent="0.25">
      <c r="B114" s="393">
        <v>2046</v>
      </c>
      <c r="C114" s="387">
        <v>20</v>
      </c>
      <c r="D114" s="142">
        <v>26</v>
      </c>
      <c r="E114" s="475" t="e">
        <f t="shared" si="11"/>
        <v>#REF!</v>
      </c>
      <c r="F114" s="427" t="e">
        <f>((#REF!*$E114*1*365)/1000000)</f>
        <v>#REF!</v>
      </c>
      <c r="G114" s="417" t="e">
        <f>((#REF!*$E114*1*365)/1000000)</f>
        <v>#REF!</v>
      </c>
      <c r="H114" s="428" t="e">
        <f>((#REF!*$E114*1*365)/1000000)</f>
        <v>#REF!</v>
      </c>
      <c r="I114" s="427" t="e">
        <f>F114-(F114*#REF!)</f>
        <v>#REF!</v>
      </c>
      <c r="J114" s="417" t="e">
        <f>G114-(G114*#REF!)</f>
        <v>#REF!</v>
      </c>
      <c r="K114" s="428" t="e">
        <f>H114-(H114*#REF!)</f>
        <v>#REF!</v>
      </c>
      <c r="L114" s="483" t="e">
        <f>I114*#REF!*#REF!</f>
        <v>#REF!</v>
      </c>
      <c r="M114" s="484" t="e">
        <f>J114*#REF!*#REF!</f>
        <v>#REF!</v>
      </c>
      <c r="N114" s="485" t="e">
        <f>K114*#REF!*#REF!</f>
        <v>#REF!</v>
      </c>
      <c r="O114" s="53"/>
      <c r="P114" s="53"/>
    </row>
    <row r="115" spans="2:16" hidden="1" x14ac:dyDescent="0.25">
      <c r="B115" s="391">
        <v>2047</v>
      </c>
      <c r="C115" s="385">
        <v>21</v>
      </c>
      <c r="D115" s="140">
        <v>27</v>
      </c>
      <c r="E115" s="422" t="e">
        <f t="shared" si="11"/>
        <v>#REF!</v>
      </c>
      <c r="F115" s="425" t="e">
        <f>((#REF!*$E115*1*365)/1000000)</f>
        <v>#REF!</v>
      </c>
      <c r="G115" s="416" t="e">
        <f>((#REF!*$E115*1*365)/1000000)</f>
        <v>#REF!</v>
      </c>
      <c r="H115" s="426" t="e">
        <f>((#REF!*$E115*1*365)/1000000)</f>
        <v>#REF!</v>
      </c>
      <c r="I115" s="425" t="e">
        <f>F115-(F115*#REF!)</f>
        <v>#REF!</v>
      </c>
      <c r="J115" s="416" t="e">
        <f>G115-(G115*#REF!)</f>
        <v>#REF!</v>
      </c>
      <c r="K115" s="426" t="e">
        <f>H115-(H115*#REF!)</f>
        <v>#REF!</v>
      </c>
      <c r="L115" s="150" t="e">
        <f>I115*#REF!*#REF!</f>
        <v>#REF!</v>
      </c>
      <c r="M115" s="145" t="e">
        <f>J115*#REF!*#REF!</f>
        <v>#REF!</v>
      </c>
      <c r="N115" s="162" t="e">
        <f>K115*#REF!*#REF!</f>
        <v>#REF!</v>
      </c>
      <c r="O115" s="53"/>
      <c r="P115" s="53"/>
    </row>
    <row r="116" spans="2:16" hidden="1" x14ac:dyDescent="0.25">
      <c r="B116" s="393">
        <v>2048</v>
      </c>
      <c r="C116" s="387">
        <v>22</v>
      </c>
      <c r="D116" s="142">
        <v>28</v>
      </c>
      <c r="E116" s="475" t="e">
        <f t="shared" si="11"/>
        <v>#REF!</v>
      </c>
      <c r="F116" s="427" t="e">
        <f>((#REF!*$E116*1*365)/1000000)</f>
        <v>#REF!</v>
      </c>
      <c r="G116" s="417" t="e">
        <f>((#REF!*$E116*1*365)/1000000)</f>
        <v>#REF!</v>
      </c>
      <c r="H116" s="428" t="e">
        <f>((#REF!*$E116*1*365)/1000000)</f>
        <v>#REF!</v>
      </c>
      <c r="I116" s="427" t="e">
        <f>F116-(F116*#REF!)</f>
        <v>#REF!</v>
      </c>
      <c r="J116" s="417" t="e">
        <f>G116-(G116*#REF!)</f>
        <v>#REF!</v>
      </c>
      <c r="K116" s="428" t="e">
        <f>H116-(H116*#REF!)</f>
        <v>#REF!</v>
      </c>
      <c r="L116" s="483" t="e">
        <f>I116*#REF!*#REF!</f>
        <v>#REF!</v>
      </c>
      <c r="M116" s="484" t="e">
        <f>J116*#REF!*#REF!</f>
        <v>#REF!</v>
      </c>
      <c r="N116" s="485" t="e">
        <f>K116*#REF!*#REF!</f>
        <v>#REF!</v>
      </c>
      <c r="O116" s="53"/>
      <c r="P116" s="53"/>
    </row>
    <row r="117" spans="2:16" hidden="1" x14ac:dyDescent="0.25">
      <c r="B117" s="395">
        <v>2049</v>
      </c>
      <c r="C117" s="387">
        <v>23</v>
      </c>
      <c r="D117" s="142">
        <v>29</v>
      </c>
      <c r="E117" s="475" t="e">
        <f t="shared" si="11"/>
        <v>#REF!</v>
      </c>
      <c r="F117" s="427" t="e">
        <f>((#REF!*$E117*1*365)/1000000)</f>
        <v>#REF!</v>
      </c>
      <c r="G117" s="417" t="e">
        <f>((#REF!*$E117*1*365)/1000000)</f>
        <v>#REF!</v>
      </c>
      <c r="H117" s="428" t="e">
        <f>((#REF!*$E117*1*365)/1000000)</f>
        <v>#REF!</v>
      </c>
      <c r="I117" s="427" t="e">
        <f>F117-(F117*#REF!)</f>
        <v>#REF!</v>
      </c>
      <c r="J117" s="417" t="e">
        <f>G117-(G117*#REF!)</f>
        <v>#REF!</v>
      </c>
      <c r="K117" s="428" t="e">
        <f>H117-(H117*#REF!)</f>
        <v>#REF!</v>
      </c>
      <c r="L117" s="483" t="e">
        <f>I117*#REF!*#REF!</f>
        <v>#REF!</v>
      </c>
      <c r="M117" s="484" t="e">
        <f>J117*#REF!*#REF!</f>
        <v>#REF!</v>
      </c>
      <c r="N117" s="485" t="e">
        <f>K117*#REF!*#REF!</f>
        <v>#REF!</v>
      </c>
      <c r="O117" s="53"/>
      <c r="P117" s="53"/>
    </row>
    <row r="118" spans="2:16" hidden="1" x14ac:dyDescent="0.25">
      <c r="B118" s="393">
        <v>2050</v>
      </c>
      <c r="C118" s="387">
        <v>24</v>
      </c>
      <c r="D118" s="142">
        <v>30</v>
      </c>
      <c r="E118" s="475" t="e">
        <f t="shared" si="11"/>
        <v>#REF!</v>
      </c>
      <c r="F118" s="427" t="e">
        <f>((#REF!*$E118*1*365)/1000000)</f>
        <v>#REF!</v>
      </c>
      <c r="G118" s="417" t="e">
        <f>((#REF!*$E118*1*365)/1000000)</f>
        <v>#REF!</v>
      </c>
      <c r="H118" s="428" t="e">
        <f>((#REF!*$E118*1*365)/1000000)</f>
        <v>#REF!</v>
      </c>
      <c r="I118" s="427" t="e">
        <f>F118-(F118*#REF!)</f>
        <v>#REF!</v>
      </c>
      <c r="J118" s="417" t="e">
        <f>G118-(G118*#REF!)</f>
        <v>#REF!</v>
      </c>
      <c r="K118" s="428" t="e">
        <f>H118-(H118*#REF!)</f>
        <v>#REF!</v>
      </c>
      <c r="L118" s="483" t="e">
        <f>I118*#REF!*#REF!</f>
        <v>#REF!</v>
      </c>
      <c r="M118" s="484" t="e">
        <f>J118*#REF!*#REF!</f>
        <v>#REF!</v>
      </c>
      <c r="N118" s="485" t="e">
        <f>K118*#REF!*#REF!</f>
        <v>#REF!</v>
      </c>
      <c r="O118" s="53"/>
      <c r="P118" s="53"/>
    </row>
    <row r="119" spans="2:16" hidden="1" x14ac:dyDescent="0.25">
      <c r="B119" s="395">
        <v>2051</v>
      </c>
      <c r="C119" s="387">
        <v>25</v>
      </c>
      <c r="D119" s="142">
        <v>31</v>
      </c>
      <c r="E119" s="475" t="e">
        <f t="shared" si="11"/>
        <v>#REF!</v>
      </c>
      <c r="F119" s="427" t="e">
        <f>((#REF!*$E119*1*365)/1000000)</f>
        <v>#REF!</v>
      </c>
      <c r="G119" s="417" t="e">
        <f>((#REF!*$E119*1*365)/1000000)</f>
        <v>#REF!</v>
      </c>
      <c r="H119" s="428" t="e">
        <f>((#REF!*$E119*1*365)/1000000)</f>
        <v>#REF!</v>
      </c>
      <c r="I119" s="427" t="e">
        <f>F119-(F119*#REF!)</f>
        <v>#REF!</v>
      </c>
      <c r="J119" s="417" t="e">
        <f>G119-(G119*#REF!)</f>
        <v>#REF!</v>
      </c>
      <c r="K119" s="428" t="e">
        <f>H119-(H119*#REF!)</f>
        <v>#REF!</v>
      </c>
      <c r="L119" s="483" t="e">
        <f>I119*#REF!*#REF!</f>
        <v>#REF!</v>
      </c>
      <c r="M119" s="484" t="e">
        <f>J119*#REF!*#REF!</f>
        <v>#REF!</v>
      </c>
      <c r="N119" s="485" t="e">
        <f>K119*#REF!*#REF!</f>
        <v>#REF!</v>
      </c>
      <c r="O119" s="53"/>
      <c r="P119" s="53"/>
    </row>
    <row r="120" spans="2:16" hidden="1" x14ac:dyDescent="0.25">
      <c r="B120" s="393">
        <v>2052</v>
      </c>
      <c r="C120" s="387">
        <v>26</v>
      </c>
      <c r="D120" s="142">
        <v>32</v>
      </c>
      <c r="E120" s="475" t="e">
        <f t="shared" si="11"/>
        <v>#REF!</v>
      </c>
      <c r="F120" s="427" t="e">
        <f>((#REF!*$E120*1*365)/1000000)</f>
        <v>#REF!</v>
      </c>
      <c r="G120" s="417" t="e">
        <f>((#REF!*$E120*1*365)/1000000)</f>
        <v>#REF!</v>
      </c>
      <c r="H120" s="428" t="e">
        <f>((#REF!*$E120*1*365)/1000000)</f>
        <v>#REF!</v>
      </c>
      <c r="I120" s="427" t="e">
        <f>F120-(F120*#REF!)</f>
        <v>#REF!</v>
      </c>
      <c r="J120" s="417" t="e">
        <f>G120-(G120*#REF!)</f>
        <v>#REF!</v>
      </c>
      <c r="K120" s="428" t="e">
        <f>H120-(H120*#REF!)</f>
        <v>#REF!</v>
      </c>
      <c r="L120" s="483" t="e">
        <f>I120*#REF!*#REF!</f>
        <v>#REF!</v>
      </c>
      <c r="M120" s="484" t="e">
        <f>J120*#REF!*#REF!</f>
        <v>#REF!</v>
      </c>
      <c r="N120" s="485" t="e">
        <f>K120*#REF!*#REF!</f>
        <v>#REF!</v>
      </c>
      <c r="O120" s="53"/>
      <c r="P120" s="53"/>
    </row>
    <row r="121" spans="2:16" hidden="1" x14ac:dyDescent="0.25">
      <c r="B121" s="395">
        <v>2053</v>
      </c>
      <c r="C121" s="387">
        <v>27</v>
      </c>
      <c r="D121" s="142">
        <v>33</v>
      </c>
      <c r="E121" s="475" t="e">
        <f t="shared" si="11"/>
        <v>#REF!</v>
      </c>
      <c r="F121" s="427" t="e">
        <f>((#REF!*$E121*1*365)/1000000)</f>
        <v>#REF!</v>
      </c>
      <c r="G121" s="417" t="e">
        <f>((#REF!*$E121*1*365)/1000000)</f>
        <v>#REF!</v>
      </c>
      <c r="H121" s="428" t="e">
        <f>((#REF!*$E121*1*365)/1000000)</f>
        <v>#REF!</v>
      </c>
      <c r="I121" s="427" t="e">
        <f>F121-(F121*#REF!)</f>
        <v>#REF!</v>
      </c>
      <c r="J121" s="417" t="e">
        <f>G121-(G121*#REF!)</f>
        <v>#REF!</v>
      </c>
      <c r="K121" s="428" t="e">
        <f>H121-(H121*#REF!)</f>
        <v>#REF!</v>
      </c>
      <c r="L121" s="483" t="e">
        <f>I121*#REF!*#REF!</f>
        <v>#REF!</v>
      </c>
      <c r="M121" s="484" t="e">
        <f>J121*#REF!*#REF!</f>
        <v>#REF!</v>
      </c>
      <c r="N121" s="485" t="e">
        <f>K121*#REF!*#REF!</f>
        <v>#REF!</v>
      </c>
      <c r="O121" s="53"/>
      <c r="P121" s="53"/>
    </row>
    <row r="122" spans="2:16" hidden="1" x14ac:dyDescent="0.25">
      <c r="B122" s="393">
        <v>2054</v>
      </c>
      <c r="C122" s="387">
        <v>28</v>
      </c>
      <c r="D122" s="142">
        <v>34</v>
      </c>
      <c r="E122" s="475" t="e">
        <f t="shared" si="11"/>
        <v>#REF!</v>
      </c>
      <c r="F122" s="427" t="e">
        <f>((#REF!*$E122*1*365)/1000000)</f>
        <v>#REF!</v>
      </c>
      <c r="G122" s="417" t="e">
        <f>((#REF!*$E122*1*365)/1000000)</f>
        <v>#REF!</v>
      </c>
      <c r="H122" s="428" t="e">
        <f>((#REF!*$E122*1*365)/1000000)</f>
        <v>#REF!</v>
      </c>
      <c r="I122" s="427" t="e">
        <f>F122-(F122*#REF!)</f>
        <v>#REF!</v>
      </c>
      <c r="J122" s="417" t="e">
        <f>G122-(G122*#REF!)</f>
        <v>#REF!</v>
      </c>
      <c r="K122" s="428" t="e">
        <f>H122-(H122*#REF!)</f>
        <v>#REF!</v>
      </c>
      <c r="L122" s="483" t="e">
        <f>I122*#REF!*#REF!</f>
        <v>#REF!</v>
      </c>
      <c r="M122" s="484" t="e">
        <f>J122*#REF!*#REF!</f>
        <v>#REF!</v>
      </c>
      <c r="N122" s="485" t="e">
        <f>K122*#REF!*#REF!</f>
        <v>#REF!</v>
      </c>
      <c r="O122" s="53"/>
      <c r="P122" s="53"/>
    </row>
    <row r="123" spans="2:16" hidden="1" x14ac:dyDescent="0.25">
      <c r="B123" s="395">
        <v>2055</v>
      </c>
      <c r="C123" s="387">
        <v>29</v>
      </c>
      <c r="D123" s="142">
        <v>35</v>
      </c>
      <c r="E123" s="475" t="e">
        <f t="shared" si="11"/>
        <v>#REF!</v>
      </c>
      <c r="F123" s="427" t="e">
        <f>((#REF!*$E123*1*365)/1000000)</f>
        <v>#REF!</v>
      </c>
      <c r="G123" s="417" t="e">
        <f>((#REF!*$E123*1*365)/1000000)</f>
        <v>#REF!</v>
      </c>
      <c r="H123" s="428" t="e">
        <f>((#REF!*$E123*1*365)/1000000)</f>
        <v>#REF!</v>
      </c>
      <c r="I123" s="427" t="e">
        <f>F123-(F123*#REF!)</f>
        <v>#REF!</v>
      </c>
      <c r="J123" s="417" t="e">
        <f>G123-(G123*#REF!)</f>
        <v>#REF!</v>
      </c>
      <c r="K123" s="428" t="e">
        <f>H123-(H123*#REF!)</f>
        <v>#REF!</v>
      </c>
      <c r="L123" s="483" t="e">
        <f>I123*#REF!*#REF!</f>
        <v>#REF!</v>
      </c>
      <c r="M123" s="484" t="e">
        <f>J123*#REF!*#REF!</f>
        <v>#REF!</v>
      </c>
      <c r="N123" s="485" t="e">
        <f>K123*#REF!*#REF!</f>
        <v>#REF!</v>
      </c>
      <c r="O123" s="53"/>
      <c r="P123" s="53"/>
    </row>
    <row r="124" spans="2:16" hidden="1" x14ac:dyDescent="0.25">
      <c r="B124" s="393">
        <v>2056</v>
      </c>
      <c r="C124" s="387">
        <v>30</v>
      </c>
      <c r="D124" s="142">
        <v>36</v>
      </c>
      <c r="E124" s="475" t="e">
        <f t="shared" si="11"/>
        <v>#REF!</v>
      </c>
      <c r="F124" s="427" t="e">
        <f>((#REF!*$E124*1*365)/1000000)</f>
        <v>#REF!</v>
      </c>
      <c r="G124" s="417" t="e">
        <f>((#REF!*$E124*1*365)/1000000)</f>
        <v>#REF!</v>
      </c>
      <c r="H124" s="428" t="e">
        <f>((#REF!*$E124*1*365)/1000000)</f>
        <v>#REF!</v>
      </c>
      <c r="I124" s="427" t="e">
        <f>F124-(F124*#REF!)</f>
        <v>#REF!</v>
      </c>
      <c r="J124" s="417" t="e">
        <f>G124-(G124*#REF!)</f>
        <v>#REF!</v>
      </c>
      <c r="K124" s="428" t="e">
        <f>H124-(H124*#REF!)</f>
        <v>#REF!</v>
      </c>
      <c r="L124" s="483" t="e">
        <f>I124*#REF!*#REF!</f>
        <v>#REF!</v>
      </c>
      <c r="M124" s="484" t="e">
        <f>J124*#REF!*#REF!</f>
        <v>#REF!</v>
      </c>
      <c r="N124" s="485" t="e">
        <f>K124*#REF!*#REF!</f>
        <v>#REF!</v>
      </c>
      <c r="O124" s="53"/>
      <c r="P124" s="53"/>
    </row>
    <row r="125" spans="2:16" ht="15.75" hidden="1" thickBot="1" x14ac:dyDescent="0.3">
      <c r="B125" s="397">
        <v>2057</v>
      </c>
      <c r="C125" s="398">
        <v>31</v>
      </c>
      <c r="D125" s="143">
        <v>37</v>
      </c>
      <c r="E125" s="477" t="e">
        <f t="shared" si="11"/>
        <v>#REF!</v>
      </c>
      <c r="F125" s="429" t="e">
        <f>((#REF!*$E125*1*365)/1000000)</f>
        <v>#REF!</v>
      </c>
      <c r="G125" s="419" t="e">
        <f>((#REF!*$E125*1*365)/1000000)</f>
        <v>#REF!</v>
      </c>
      <c r="H125" s="430" t="e">
        <f>((#REF!*$E125*1*365)/1000000)</f>
        <v>#REF!</v>
      </c>
      <c r="I125" s="429" t="e">
        <f>F125-(F125*#REF!)</f>
        <v>#REF!</v>
      </c>
      <c r="J125" s="419" t="e">
        <f>G125-(G125*#REF!)</f>
        <v>#REF!</v>
      </c>
      <c r="K125" s="430" t="e">
        <f>H125-(H125*#REF!)</f>
        <v>#REF!</v>
      </c>
      <c r="L125" s="490" t="e">
        <f>I125*#REF!*#REF!</f>
        <v>#REF!</v>
      </c>
      <c r="M125" s="491" t="e">
        <f>J125*#REF!*#REF!</f>
        <v>#REF!</v>
      </c>
      <c r="N125" s="492" t="e">
        <f>K125*#REF!*#REF!</f>
        <v>#REF!</v>
      </c>
      <c r="O125" s="53"/>
      <c r="P125" s="53"/>
    </row>
    <row r="126" spans="2:16" ht="15.75" hidden="1" thickBot="1" x14ac:dyDescent="0.3">
      <c r="F126" s="306" t="e">
        <f>SUM(F89:F125)</f>
        <v>#REF!</v>
      </c>
      <c r="G126" s="306" t="e">
        <f t="shared" ref="G126:K126" si="12">SUM(G89:G125)</f>
        <v>#REF!</v>
      </c>
      <c r="H126" s="306" t="e">
        <f t="shared" si="12"/>
        <v>#REF!</v>
      </c>
      <c r="I126" s="306" t="e">
        <f t="shared" si="12"/>
        <v>#REF!</v>
      </c>
      <c r="J126" s="306" t="e">
        <f t="shared" si="12"/>
        <v>#REF!</v>
      </c>
      <c r="K126" s="306" t="e">
        <f t="shared" si="12"/>
        <v>#REF!</v>
      </c>
      <c r="L126" s="5" t="e">
        <f>SUM(L89:L125)</f>
        <v>#REF!</v>
      </c>
      <c r="M126" s="8" t="e">
        <f>SUM(M89:M125)</f>
        <v>#REF!</v>
      </c>
      <c r="N126" s="4" t="e">
        <f>SUM(N89:N125)</f>
        <v>#REF!</v>
      </c>
      <c r="O126" s="493"/>
      <c r="P126" s="493"/>
    </row>
    <row r="127" spans="2:16" hidden="1" x14ac:dyDescent="0.25">
      <c r="F127" s="306"/>
      <c r="G127" s="306"/>
      <c r="H127" s="306"/>
      <c r="I127" s="306" t="e">
        <f>F126-I126</f>
        <v>#REF!</v>
      </c>
      <c r="J127" s="306" t="e">
        <f>G126-J126</f>
        <v>#REF!</v>
      </c>
      <c r="K127" s="306" t="e">
        <f t="shared" ref="K127" si="13">H126-K126</f>
        <v>#REF!</v>
      </c>
      <c r="L127" s="493"/>
      <c r="M127" s="493"/>
      <c r="N127" s="493"/>
      <c r="O127" s="493"/>
      <c r="P127" s="493"/>
    </row>
    <row r="128" spans="2:16" ht="15.75" thickBot="1" x14ac:dyDescent="0.3">
      <c r="B128" s="18" t="s">
        <v>141</v>
      </c>
    </row>
    <row r="129" spans="2:10" x14ac:dyDescent="0.25">
      <c r="B129" s="574" t="s">
        <v>1</v>
      </c>
      <c r="C129" s="576" t="s">
        <v>2</v>
      </c>
      <c r="D129" s="578" t="s">
        <v>22</v>
      </c>
      <c r="E129" s="580" t="s">
        <v>192</v>
      </c>
      <c r="F129" s="573"/>
      <c r="G129" s="573"/>
      <c r="H129" s="581"/>
      <c r="I129" s="582" t="s">
        <v>137</v>
      </c>
    </row>
    <row r="130" spans="2:10" ht="15.75" thickBot="1" x14ac:dyDescent="0.3">
      <c r="B130" s="575"/>
      <c r="C130" s="577"/>
      <c r="D130" s="579"/>
      <c r="E130" s="380" t="s">
        <v>35</v>
      </c>
      <c r="F130" s="381" t="s">
        <v>36</v>
      </c>
      <c r="G130" s="381" t="s">
        <v>37</v>
      </c>
      <c r="H130" s="104" t="s">
        <v>18</v>
      </c>
      <c r="I130" s="583"/>
    </row>
    <row r="131" spans="2:10" x14ac:dyDescent="0.25">
      <c r="B131" s="389">
        <f t="shared" ref="B131:B134" si="14">B132-1</f>
        <v>2022</v>
      </c>
      <c r="C131" s="384">
        <v>0</v>
      </c>
      <c r="D131" s="139">
        <v>1</v>
      </c>
      <c r="E131" s="438">
        <v>0</v>
      </c>
      <c r="F131" s="437">
        <v>0</v>
      </c>
      <c r="G131" s="437">
        <v>0</v>
      </c>
      <c r="H131" s="494">
        <v>0</v>
      </c>
      <c r="I131" s="495">
        <v>0</v>
      </c>
    </row>
    <row r="132" spans="2:10" x14ac:dyDescent="0.25">
      <c r="B132" s="389">
        <f t="shared" si="14"/>
        <v>2023</v>
      </c>
      <c r="C132" s="384">
        <v>0</v>
      </c>
      <c r="D132" s="139">
        <v>2</v>
      </c>
      <c r="E132" s="438">
        <v>0</v>
      </c>
      <c r="F132" s="437">
        <v>0</v>
      </c>
      <c r="G132" s="437">
        <v>0</v>
      </c>
      <c r="H132" s="494">
        <v>0</v>
      </c>
      <c r="I132" s="495">
        <v>0</v>
      </c>
    </row>
    <row r="133" spans="2:10" x14ac:dyDescent="0.25">
      <c r="B133" s="389">
        <f t="shared" si="14"/>
        <v>2024</v>
      </c>
      <c r="C133" s="384">
        <v>0</v>
      </c>
      <c r="D133" s="139">
        <v>3</v>
      </c>
      <c r="E133" s="438">
        <v>0</v>
      </c>
      <c r="F133" s="437">
        <v>0</v>
      </c>
      <c r="G133" s="437">
        <v>0</v>
      </c>
      <c r="H133" s="494">
        <v>0</v>
      </c>
      <c r="I133" s="495">
        <v>0</v>
      </c>
    </row>
    <row r="134" spans="2:10" x14ac:dyDescent="0.25">
      <c r="B134" s="389">
        <f t="shared" si="14"/>
        <v>2025</v>
      </c>
      <c r="C134" s="384">
        <v>0</v>
      </c>
      <c r="D134" s="139">
        <v>4</v>
      </c>
      <c r="E134" s="438">
        <v>0</v>
      </c>
      <c r="F134" s="437">
        <v>0</v>
      </c>
      <c r="G134" s="437">
        <v>0</v>
      </c>
      <c r="H134" s="494">
        <v>0</v>
      </c>
      <c r="I134" s="495">
        <v>0</v>
      </c>
    </row>
    <row r="135" spans="2:10" x14ac:dyDescent="0.25">
      <c r="B135" s="389">
        <f>B136-1</f>
        <v>2026</v>
      </c>
      <c r="C135" s="384">
        <v>0</v>
      </c>
      <c r="D135" s="139">
        <v>5</v>
      </c>
      <c r="E135" s="438">
        <v>0</v>
      </c>
      <c r="F135" s="437">
        <v>0</v>
      </c>
      <c r="G135" s="437">
        <v>0</v>
      </c>
      <c r="H135" s="494">
        <v>0</v>
      </c>
      <c r="I135" s="495">
        <v>0</v>
      </c>
    </row>
    <row r="136" spans="2:10" x14ac:dyDescent="0.25">
      <c r="B136" s="391">
        <v>2027</v>
      </c>
      <c r="C136" s="385">
        <v>1</v>
      </c>
      <c r="D136" s="140">
        <v>6</v>
      </c>
      <c r="E136" s="340">
        <v>636829.18284521066</v>
      </c>
      <c r="F136" s="341">
        <v>9307427.06221487</v>
      </c>
      <c r="G136" s="341">
        <v>5828120.0892865602</v>
      </c>
      <c r="H136" s="496">
        <v>15772376.334346641</v>
      </c>
      <c r="I136" s="497">
        <v>11245486.344004437</v>
      </c>
      <c r="J136" s="519" t="s">
        <v>51</v>
      </c>
    </row>
    <row r="137" spans="2:10" x14ac:dyDescent="0.25">
      <c r="B137" s="393">
        <f>B136+1</f>
        <v>2028</v>
      </c>
      <c r="C137" s="386">
        <v>2</v>
      </c>
      <c r="D137" s="141">
        <v>7</v>
      </c>
      <c r="E137" s="438">
        <v>640013.3287594365</v>
      </c>
      <c r="F137" s="437">
        <v>9353964.1975259446</v>
      </c>
      <c r="G137" s="437">
        <v>5857260.6897329912</v>
      </c>
      <c r="H137" s="498">
        <v>15851238.216018371</v>
      </c>
      <c r="I137" s="499">
        <v>10562349.323106971</v>
      </c>
      <c r="J137" s="379"/>
    </row>
    <row r="138" spans="2:10" x14ac:dyDescent="0.25">
      <c r="B138" s="395">
        <f t="shared" ref="B138:B166" si="15">B137+1</f>
        <v>2029</v>
      </c>
      <c r="C138" s="387">
        <v>3</v>
      </c>
      <c r="D138" s="142">
        <v>8</v>
      </c>
      <c r="E138" s="438">
        <v>643213.39540323371</v>
      </c>
      <c r="F138" s="437">
        <v>9400734.0185135715</v>
      </c>
      <c r="G138" s="437">
        <v>5886546.9931816561</v>
      </c>
      <c r="H138" s="498">
        <v>15930494.407098461</v>
      </c>
      <c r="I138" s="499">
        <v>9920711.2801144887</v>
      </c>
      <c r="J138" s="379"/>
    </row>
    <row r="139" spans="2:10" x14ac:dyDescent="0.25">
      <c r="B139" s="393">
        <f t="shared" si="15"/>
        <v>2030</v>
      </c>
      <c r="C139" s="387">
        <v>4</v>
      </c>
      <c r="D139" s="142">
        <v>9</v>
      </c>
      <c r="E139" s="438">
        <v>646429.46238024987</v>
      </c>
      <c r="F139" s="437">
        <v>9447737.6886061374</v>
      </c>
      <c r="G139" s="437">
        <v>5915979.7281475654</v>
      </c>
      <c r="H139" s="498">
        <v>16010146.879133951</v>
      </c>
      <c r="I139" s="499">
        <v>9318051.2490794957</v>
      </c>
      <c r="J139" s="379"/>
    </row>
    <row r="140" spans="2:10" x14ac:dyDescent="0.25">
      <c r="B140" s="395">
        <f t="shared" si="15"/>
        <v>2031</v>
      </c>
      <c r="C140" s="387">
        <v>5</v>
      </c>
      <c r="D140" s="142">
        <v>10</v>
      </c>
      <c r="E140" s="438">
        <v>649661.60969215084</v>
      </c>
      <c r="F140" s="437">
        <v>9494976.3770491704</v>
      </c>
      <c r="G140" s="437">
        <v>5945559.6267883005</v>
      </c>
      <c r="H140" s="498">
        <v>16090197.613529623</v>
      </c>
      <c r="I140" s="499">
        <v>8752001.4068456944</v>
      </c>
      <c r="J140" s="379"/>
    </row>
    <row r="141" spans="2:10" x14ac:dyDescent="0.25">
      <c r="B141" s="393">
        <f t="shared" si="15"/>
        <v>2032</v>
      </c>
      <c r="C141" s="387">
        <v>6</v>
      </c>
      <c r="D141" s="142">
        <v>11</v>
      </c>
      <c r="E141" s="438">
        <v>652909.91774061159</v>
      </c>
      <c r="F141" s="437">
        <v>9542451.2589344122</v>
      </c>
      <c r="G141" s="437">
        <v>5975287.4249222418</v>
      </c>
      <c r="H141" s="498">
        <v>16170648.601597264</v>
      </c>
      <c r="I141" s="499">
        <v>8220337.7699812334</v>
      </c>
      <c r="J141" s="379"/>
    </row>
    <row r="142" spans="2:10" x14ac:dyDescent="0.25">
      <c r="B142" s="395">
        <f t="shared" si="15"/>
        <v>2033</v>
      </c>
      <c r="C142" s="387">
        <v>7</v>
      </c>
      <c r="D142" s="142">
        <v>12</v>
      </c>
      <c r="E142" s="438">
        <v>656174.46732931444</v>
      </c>
      <c r="F142" s="437">
        <v>9590163.5152290817</v>
      </c>
      <c r="G142" s="437">
        <v>6005163.8620468518</v>
      </c>
      <c r="H142" s="498">
        <v>16251501.844605248</v>
      </c>
      <c r="I142" s="499">
        <v>7720971.4568515299</v>
      </c>
      <c r="J142" s="379"/>
    </row>
    <row r="143" spans="2:10" x14ac:dyDescent="0.25">
      <c r="B143" s="393">
        <f t="shared" si="15"/>
        <v>2034</v>
      </c>
      <c r="C143" s="387">
        <v>8</v>
      </c>
      <c r="D143" s="142">
        <v>13</v>
      </c>
      <c r="E143" s="438">
        <v>659455.33966596075</v>
      </c>
      <c r="F143" s="437">
        <v>9638114.3328052219</v>
      </c>
      <c r="G143" s="437">
        <v>6035189.6813570857</v>
      </c>
      <c r="H143" s="498">
        <v>16332759.353828268</v>
      </c>
      <c r="I143" s="499">
        <v>7251940.4805007353</v>
      </c>
      <c r="J143" s="379"/>
    </row>
    <row r="144" spans="2:10" x14ac:dyDescent="0.25">
      <c r="B144" s="395">
        <f t="shared" si="15"/>
        <v>2035</v>
      </c>
      <c r="C144" s="387">
        <v>9</v>
      </c>
      <c r="D144" s="142">
        <v>14</v>
      </c>
      <c r="E144" s="438">
        <v>662752.6163642907</v>
      </c>
      <c r="F144" s="437">
        <v>9686304.9044692516</v>
      </c>
      <c r="G144" s="437">
        <v>6065365.6297638677</v>
      </c>
      <c r="H144" s="498">
        <v>16414423.15059741</v>
      </c>
      <c r="I144" s="499">
        <v>6811402.0400964841</v>
      </c>
      <c r="J144" s="379"/>
    </row>
    <row r="145" spans="2:10" x14ac:dyDescent="0.25">
      <c r="B145" s="393">
        <f t="shared" si="15"/>
        <v>2036</v>
      </c>
      <c r="C145" s="387">
        <v>10</v>
      </c>
      <c r="D145" s="142">
        <v>15</v>
      </c>
      <c r="E145" s="438">
        <v>666066.37944611232</v>
      </c>
      <c r="F145" s="437">
        <v>9734736.428991599</v>
      </c>
      <c r="G145" s="437">
        <v>6095692.4579126872</v>
      </c>
      <c r="H145" s="498">
        <v>16496495.266350398</v>
      </c>
      <c r="I145" s="499">
        <v>6397625.2806513719</v>
      </c>
      <c r="J145" s="379"/>
    </row>
    <row r="146" spans="2:10" x14ac:dyDescent="0.25">
      <c r="B146" s="395">
        <f t="shared" si="15"/>
        <v>2037</v>
      </c>
      <c r="C146" s="387">
        <v>11</v>
      </c>
      <c r="D146" s="142">
        <v>16</v>
      </c>
      <c r="E146" s="438">
        <v>669396.71134334255</v>
      </c>
      <c r="F146" s="437">
        <v>9783410.1111365557</v>
      </c>
      <c r="G146" s="437">
        <v>6126170.9202022515</v>
      </c>
      <c r="H146" s="498">
        <v>16578977.74268215</v>
      </c>
      <c r="I146" s="499">
        <v>6008984.492574418</v>
      </c>
      <c r="J146" s="379"/>
    </row>
    <row r="147" spans="2:10" x14ac:dyDescent="0.25">
      <c r="B147" s="393">
        <f t="shared" si="15"/>
        <v>2038</v>
      </c>
      <c r="C147" s="387">
        <v>12</v>
      </c>
      <c r="D147" s="142">
        <v>17</v>
      </c>
      <c r="E147" s="438">
        <v>672743.69490005926</v>
      </c>
      <c r="F147" s="437">
        <v>9832327.1616922356</v>
      </c>
      <c r="G147" s="437">
        <v>6156801.7748032631</v>
      </c>
      <c r="H147" s="498">
        <v>16661872.63139556</v>
      </c>
      <c r="I147" s="499">
        <v>5643952.7243339168</v>
      </c>
      <c r="J147" s="379"/>
    </row>
    <row r="148" spans="2:10" x14ac:dyDescent="0.25">
      <c r="B148" s="395">
        <f t="shared" si="15"/>
        <v>2039</v>
      </c>
      <c r="C148" s="387">
        <v>13</v>
      </c>
      <c r="D148" s="142">
        <v>18</v>
      </c>
      <c r="E148" s="438">
        <v>676107.41337455926</v>
      </c>
      <c r="F148" s="437">
        <v>9881488.7975006923</v>
      </c>
      <c r="G148" s="437">
        <v>6187585.7836772744</v>
      </c>
      <c r="H148" s="498">
        <v>16745181.994552527</v>
      </c>
      <c r="I148" s="499">
        <v>5301095.7831360586</v>
      </c>
      <c r="J148" s="379"/>
    </row>
    <row r="149" spans="2:10" x14ac:dyDescent="0.25">
      <c r="B149" s="393">
        <f t="shared" si="15"/>
        <v>2040</v>
      </c>
      <c r="C149" s="387">
        <v>14</v>
      </c>
      <c r="D149" s="142">
        <v>19</v>
      </c>
      <c r="E149" s="438">
        <v>679487.95044143195</v>
      </c>
      <c r="F149" s="437">
        <v>9930896.241488196</v>
      </c>
      <c r="G149" s="437">
        <v>6218523.712595664</v>
      </c>
      <c r="H149" s="498">
        <v>16828907.904525291</v>
      </c>
      <c r="I149" s="499">
        <v>4979066.6000483548</v>
      </c>
      <c r="J149" s="379"/>
    </row>
    <row r="150" spans="2:10" x14ac:dyDescent="0.25">
      <c r="B150" s="395">
        <f t="shared" si="15"/>
        <v>2041</v>
      </c>
      <c r="C150" s="387">
        <v>15</v>
      </c>
      <c r="D150" s="142">
        <v>20</v>
      </c>
      <c r="E150" s="438">
        <v>682885.39019363909</v>
      </c>
      <c r="F150" s="437">
        <v>9980550.7226956338</v>
      </c>
      <c r="G150" s="437">
        <v>6249616.3311586399</v>
      </c>
      <c r="H150" s="498">
        <v>16913052.444047913</v>
      </c>
      <c r="I150" s="499">
        <v>4676599.9374285927</v>
      </c>
      <c r="J150" s="379"/>
    </row>
    <row r="151" spans="2:10" x14ac:dyDescent="0.25">
      <c r="B151" s="393">
        <f t="shared" si="15"/>
        <v>2042</v>
      </c>
      <c r="C151" s="387">
        <v>16</v>
      </c>
      <c r="D151" s="142">
        <v>21</v>
      </c>
      <c r="E151" s="438">
        <v>686299.81714460719</v>
      </c>
      <c r="F151" s="437">
        <v>10030453.476309108</v>
      </c>
      <c r="G151" s="437">
        <v>6280864.4128144318</v>
      </c>
      <c r="H151" s="498">
        <v>16997617.706268147</v>
      </c>
      <c r="I151" s="499">
        <v>4392507.417865173</v>
      </c>
      <c r="J151" s="379"/>
    </row>
    <row r="152" spans="2:10" x14ac:dyDescent="0.25">
      <c r="B152" s="395">
        <f t="shared" si="15"/>
        <v>2043</v>
      </c>
      <c r="C152" s="387">
        <v>17</v>
      </c>
      <c r="D152" s="142">
        <v>22</v>
      </c>
      <c r="E152" s="438">
        <v>689731.31623033015</v>
      </c>
      <c r="F152" s="437">
        <v>10080605.743690656</v>
      </c>
      <c r="G152" s="437">
        <v>6312268.7348785046</v>
      </c>
      <c r="H152" s="498">
        <v>17082605.794799492</v>
      </c>
      <c r="I152" s="499">
        <v>4125672.8550976631</v>
      </c>
      <c r="J152" s="379"/>
    </row>
    <row r="153" spans="2:10" x14ac:dyDescent="0.25">
      <c r="B153" s="393">
        <f t="shared" si="15"/>
        <v>2044</v>
      </c>
      <c r="C153" s="387">
        <v>18</v>
      </c>
      <c r="D153" s="142">
        <v>23</v>
      </c>
      <c r="E153" s="438">
        <v>693179.97281148168</v>
      </c>
      <c r="F153" s="437">
        <v>10131008.772409113</v>
      </c>
      <c r="G153" s="437">
        <v>6343830.0785528971</v>
      </c>
      <c r="H153" s="498">
        <v>17168018.823773492</v>
      </c>
      <c r="I153" s="499">
        <v>3875047.8685730393</v>
      </c>
      <c r="J153" s="379"/>
    </row>
    <row r="154" spans="2:10" x14ac:dyDescent="0.25">
      <c r="B154" s="395">
        <f t="shared" si="15"/>
        <v>2045</v>
      </c>
      <c r="C154" s="387">
        <v>19</v>
      </c>
      <c r="D154" s="142">
        <v>24</v>
      </c>
      <c r="E154" s="438">
        <v>696645.87267553911</v>
      </c>
      <c r="F154" s="437">
        <v>10181663.816271152</v>
      </c>
      <c r="G154" s="437">
        <v>6375549.2289456567</v>
      </c>
      <c r="H154" s="498">
        <v>17253858.917892348</v>
      </c>
      <c r="I154" s="499">
        <v>3639647.7644073847</v>
      </c>
      <c r="J154" s="379"/>
    </row>
    <row r="155" spans="2:10" x14ac:dyDescent="0.25">
      <c r="B155" s="393">
        <f t="shared" si="15"/>
        <v>2046</v>
      </c>
      <c r="C155" s="387">
        <v>20</v>
      </c>
      <c r="D155" s="142">
        <v>25</v>
      </c>
      <c r="E155" s="438">
        <v>700129.10203891655</v>
      </c>
      <c r="F155" s="437">
        <v>10232572.135352505</v>
      </c>
      <c r="G155" s="437">
        <v>6407426.9750903845</v>
      </c>
      <c r="H155" s="498">
        <v>17340128.212481804</v>
      </c>
      <c r="I155" s="499">
        <v>3418547.6665695519</v>
      </c>
      <c r="J155" s="379"/>
    </row>
    <row r="156" spans="2:10" x14ac:dyDescent="0.25">
      <c r="B156" s="391">
        <f t="shared" si="15"/>
        <v>2047</v>
      </c>
      <c r="C156" s="385">
        <v>21</v>
      </c>
      <c r="D156" s="385">
        <v>26</v>
      </c>
      <c r="E156" s="340">
        <v>703629.74754911102</v>
      </c>
      <c r="F156" s="341">
        <v>10283734.996029269</v>
      </c>
      <c r="G156" s="341">
        <v>6439464.1099658394</v>
      </c>
      <c r="H156" s="496">
        <v>17426828.85354422</v>
      </c>
      <c r="I156" s="497">
        <v>3210878.8830863559</v>
      </c>
      <c r="J156" s="519" t="s">
        <v>125</v>
      </c>
    </row>
    <row r="157" spans="2:10" x14ac:dyDescent="0.25">
      <c r="B157" s="393">
        <f t="shared" si="15"/>
        <v>2048</v>
      </c>
      <c r="C157" s="387">
        <v>22</v>
      </c>
      <c r="D157" s="142">
        <v>27</v>
      </c>
      <c r="E157" s="438">
        <v>707147.89628685638</v>
      </c>
      <c r="F157" s="437">
        <v>10335153.671009412</v>
      </c>
      <c r="G157" s="437">
        <v>6471661.4305156665</v>
      </c>
      <c r="H157" s="498">
        <v>17513962.997811936</v>
      </c>
      <c r="I157" s="499">
        <v>3015825.4929923243</v>
      </c>
    </row>
    <row r="158" spans="2:10" x14ac:dyDescent="0.25">
      <c r="B158" s="395">
        <f t="shared" si="15"/>
        <v>2049</v>
      </c>
      <c r="C158" s="387">
        <v>23</v>
      </c>
      <c r="D158" s="142">
        <v>28</v>
      </c>
      <c r="E158" s="438">
        <v>710683.63576829061</v>
      </c>
      <c r="F158" s="437">
        <v>10386829.439364454</v>
      </c>
      <c r="G158" s="437">
        <v>6504019.7376682414</v>
      </c>
      <c r="H158" s="498">
        <v>17601532.812800985</v>
      </c>
      <c r="I158" s="499">
        <v>2832621.1406142837</v>
      </c>
    </row>
    <row r="159" spans="2:10" x14ac:dyDescent="0.25">
      <c r="B159" s="393">
        <f t="shared" si="15"/>
        <v>2050</v>
      </c>
      <c r="C159" s="387">
        <v>24</v>
      </c>
      <c r="D159" s="142">
        <v>29</v>
      </c>
      <c r="E159" s="438">
        <v>714237.05394713185</v>
      </c>
      <c r="F159" s="437">
        <v>10438763.586561276</v>
      </c>
      <c r="G159" s="437">
        <v>6536539.8363565812</v>
      </c>
      <c r="H159" s="498">
        <v>17689540.47686499</v>
      </c>
      <c r="I159" s="499">
        <v>2660546.0245956592</v>
      </c>
    </row>
    <row r="160" spans="2:10" x14ac:dyDescent="0.25">
      <c r="B160" s="395">
        <f t="shared" si="15"/>
        <v>2051</v>
      </c>
      <c r="C160" s="387">
        <v>25</v>
      </c>
      <c r="D160" s="142">
        <v>30</v>
      </c>
      <c r="E160" s="438">
        <v>717808.23921686749</v>
      </c>
      <c r="F160" s="437">
        <v>10490957.404494081</v>
      </c>
      <c r="G160" s="437">
        <v>6569222.5355383633</v>
      </c>
      <c r="H160" s="498">
        <v>17777988.179249313</v>
      </c>
      <c r="I160" s="499">
        <v>2498924.0698305019</v>
      </c>
    </row>
    <row r="161" spans="2:9" x14ac:dyDescent="0.25">
      <c r="B161" s="393">
        <f t="shared" si="15"/>
        <v>2052</v>
      </c>
      <c r="C161" s="387">
        <v>26</v>
      </c>
      <c r="D161" s="142">
        <v>31</v>
      </c>
      <c r="E161" s="438">
        <v>721397.28041295172</v>
      </c>
      <c r="F161" s="437">
        <v>10543412.191516552</v>
      </c>
      <c r="G161" s="437">
        <v>6602068.6482160548</v>
      </c>
      <c r="H161" s="498">
        <v>17866878.120145559</v>
      </c>
      <c r="I161" s="499">
        <v>2347120.2711959388</v>
      </c>
    </row>
    <row r="162" spans="2:9" x14ac:dyDescent="0.25">
      <c r="B162" s="395">
        <f t="shared" si="15"/>
        <v>2053</v>
      </c>
      <c r="C162" s="387">
        <v>27</v>
      </c>
      <c r="D162" s="142">
        <v>32</v>
      </c>
      <c r="E162" s="438">
        <v>725004.26681501651</v>
      </c>
      <c r="F162" s="437">
        <v>10596129.252474135</v>
      </c>
      <c r="G162" s="437">
        <v>6635078.9914571345</v>
      </c>
      <c r="H162" s="498">
        <v>17956212.510746285</v>
      </c>
      <c r="I162" s="499">
        <v>2204538.1986466525</v>
      </c>
    </row>
    <row r="163" spans="2:9" x14ac:dyDescent="0.25">
      <c r="B163" s="393">
        <f t="shared" si="15"/>
        <v>2054</v>
      </c>
      <c r="C163" s="387">
        <v>28</v>
      </c>
      <c r="D163" s="142">
        <v>33</v>
      </c>
      <c r="E163" s="438">
        <v>728629.2881490913</v>
      </c>
      <c r="F163" s="437">
        <v>10649109.898736501</v>
      </c>
      <c r="G163" s="437">
        <v>6668254.3864144171</v>
      </c>
      <c r="H163" s="498">
        <v>18045993.573300008</v>
      </c>
      <c r="I163" s="499">
        <v>2070617.6538690513</v>
      </c>
    </row>
    <row r="164" spans="2:9" x14ac:dyDescent="0.25">
      <c r="B164" s="395">
        <f t="shared" si="15"/>
        <v>2055</v>
      </c>
      <c r="C164" s="387">
        <v>29</v>
      </c>
      <c r="D164" s="142">
        <v>34</v>
      </c>
      <c r="E164" s="438">
        <v>732272.43458983686</v>
      </c>
      <c r="F164" s="437">
        <v>10702355.448230181</v>
      </c>
      <c r="G164" s="437">
        <v>6701595.65834649</v>
      </c>
      <c r="H164" s="498">
        <v>18136223.541166507</v>
      </c>
      <c r="I164" s="499">
        <v>1944832.4692882209</v>
      </c>
    </row>
    <row r="165" spans="2:9" x14ac:dyDescent="0.25">
      <c r="B165" s="393">
        <f t="shared" si="15"/>
        <v>2056</v>
      </c>
      <c r="C165" s="387">
        <v>30</v>
      </c>
      <c r="D165" s="142">
        <v>35</v>
      </c>
      <c r="E165" s="438">
        <v>735933.79676278611</v>
      </c>
      <c r="F165" s="437">
        <v>10755867.225471335</v>
      </c>
      <c r="G165" s="437">
        <v>6735103.6366382204</v>
      </c>
      <c r="H165" s="498">
        <v>18226904.658872344</v>
      </c>
      <c r="I165" s="499">
        <v>1826688.4407800583</v>
      </c>
    </row>
    <row r="166" spans="2:9" ht="15.75" thickBot="1" x14ac:dyDescent="0.3">
      <c r="B166" s="397">
        <f t="shared" si="15"/>
        <v>2057</v>
      </c>
      <c r="C166" s="398">
        <v>31</v>
      </c>
      <c r="D166" s="143">
        <v>36</v>
      </c>
      <c r="E166" s="438">
        <v>739613.46574659948</v>
      </c>
      <c r="F166" s="437">
        <v>10809646.561598688</v>
      </c>
      <c r="G166" s="437">
        <v>6768779.1548214126</v>
      </c>
      <c r="H166" s="500">
        <v>18318039.182166703</v>
      </c>
      <c r="I166" s="501">
        <v>1715721.3859663161</v>
      </c>
    </row>
    <row r="167" spans="2:9" ht="15.75" thickBot="1" x14ac:dyDescent="0.3">
      <c r="D167" s="1"/>
      <c r="E167" s="58">
        <v>21296470.046025023</v>
      </c>
      <c r="F167" s="58">
        <v>311253546.43837094</v>
      </c>
      <c r="G167" s="58">
        <v>194900592.26179728</v>
      </c>
      <c r="H167" s="59">
        <v>527450608.74619317</v>
      </c>
      <c r="I167" s="50">
        <v>158590313.77213198</v>
      </c>
    </row>
  </sheetData>
  <mergeCells count="26">
    <mergeCell ref="L4:N4"/>
    <mergeCell ref="B45:B46"/>
    <mergeCell ref="C45:C46"/>
    <mergeCell ref="D45:D46"/>
    <mergeCell ref="E45:E46"/>
    <mergeCell ref="F45:H45"/>
    <mergeCell ref="I45:K45"/>
    <mergeCell ref="L45:N45"/>
    <mergeCell ref="B4:B5"/>
    <mergeCell ref="C4:C5"/>
    <mergeCell ref="D4:D5"/>
    <mergeCell ref="E4:E5"/>
    <mergeCell ref="F4:H4"/>
    <mergeCell ref="I4:K4"/>
    <mergeCell ref="L87:N87"/>
    <mergeCell ref="B129:B130"/>
    <mergeCell ref="C129:C130"/>
    <mergeCell ref="D129:D130"/>
    <mergeCell ref="E129:H129"/>
    <mergeCell ref="I129:I130"/>
    <mergeCell ref="B87:B88"/>
    <mergeCell ref="C87:C88"/>
    <mergeCell ref="D87:D88"/>
    <mergeCell ref="E87:E88"/>
    <mergeCell ref="F87:H87"/>
    <mergeCell ref="I87:K87"/>
  </mergeCells>
  <pageMargins left="0.7" right="0.7" top="0.75" bottom="0.75" header="0.3" footer="0.3"/>
  <pageSetup orientation="portrait" r:id="rId1"/>
  <headerFooter>
    <oddHeader>&amp;CI-680 Highway Preservation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F1E4-3A57-49FA-998C-637BFA17A99A}">
  <sheetPr>
    <tabColor theme="0" tint="-0.499984740745262"/>
    <pageSetUpPr fitToPage="1"/>
  </sheetPr>
  <dimension ref="A1:P94"/>
  <sheetViews>
    <sheetView zoomScale="70" zoomScaleNormal="70" workbookViewId="0">
      <selection activeCell="D55" sqref="D55"/>
    </sheetView>
  </sheetViews>
  <sheetFormatPr defaultColWidth="8.85546875" defaultRowHeight="15" x14ac:dyDescent="0.25"/>
  <cols>
    <col min="1" max="1" width="25.7109375" style="52" customWidth="1"/>
    <col min="2" max="4" width="20.85546875" style="52" customWidth="1"/>
    <col min="5" max="5" width="13.7109375" style="52" bestFit="1" customWidth="1"/>
    <col min="6" max="6" width="21.28515625" style="52" bestFit="1" customWidth="1"/>
    <col min="7" max="7" width="20.85546875" style="52" bestFit="1" customWidth="1"/>
    <col min="8" max="8" width="18.7109375" style="52" customWidth="1"/>
    <col min="9" max="9" width="17.28515625" style="52" customWidth="1"/>
    <col min="10" max="10" width="12.28515625" style="52" bestFit="1" customWidth="1"/>
    <col min="11" max="11" width="13.7109375" style="52" bestFit="1" customWidth="1"/>
    <col min="12" max="12" width="19.7109375" style="52" bestFit="1" customWidth="1"/>
    <col min="13" max="13" width="13.5703125" style="52" bestFit="1" customWidth="1"/>
    <col min="14" max="14" width="12.28515625" style="52" bestFit="1" customWidth="1"/>
    <col min="15" max="15" width="11.28515625" style="52" bestFit="1" customWidth="1"/>
    <col min="16" max="16" width="16.5703125" style="52" bestFit="1" customWidth="1"/>
    <col min="17" max="16384" width="8.85546875" style="52"/>
  </cols>
  <sheetData>
    <row r="1" spans="1:16" ht="18.75" x14ac:dyDescent="0.3">
      <c r="A1" s="79" t="s">
        <v>121</v>
      </c>
    </row>
    <row r="2" spans="1:16" x14ac:dyDescent="0.25">
      <c r="B2" s="28"/>
      <c r="C2" s="28"/>
      <c r="D2" s="28"/>
      <c r="E2" s="39"/>
      <c r="F2" s="43"/>
      <c r="G2" s="43"/>
      <c r="H2" s="42"/>
    </row>
    <row r="3" spans="1:16" ht="15.75" thickBot="1" x14ac:dyDescent="0.3">
      <c r="A3" s="18" t="s">
        <v>123</v>
      </c>
      <c r="B3" s="28"/>
      <c r="C3" s="28"/>
      <c r="D3" s="28"/>
      <c r="E3" s="39"/>
      <c r="F3" s="43"/>
      <c r="G3" s="43"/>
      <c r="H3" s="42"/>
    </row>
    <row r="4" spans="1:16" ht="30" x14ac:dyDescent="0.25">
      <c r="A4" s="347" t="s">
        <v>15</v>
      </c>
      <c r="B4" s="352" t="s">
        <v>164</v>
      </c>
      <c r="C4" s="352" t="s">
        <v>165</v>
      </c>
      <c r="D4" s="352" t="s">
        <v>16</v>
      </c>
      <c r="E4" s="352" t="s">
        <v>120</v>
      </c>
      <c r="F4" s="352" t="s">
        <v>17</v>
      </c>
      <c r="G4" s="373" t="s">
        <v>166</v>
      </c>
      <c r="H4" s="359" t="s">
        <v>18</v>
      </c>
      <c r="I4" s="363" t="s">
        <v>130</v>
      </c>
      <c r="J4" s="21"/>
      <c r="K4" s="21"/>
      <c r="L4" s="21"/>
      <c r="M4" s="21"/>
    </row>
    <row r="5" spans="1:16" x14ac:dyDescent="0.25">
      <c r="A5" s="348" t="s">
        <v>19</v>
      </c>
      <c r="B5" s="353"/>
      <c r="C5" s="353">
        <v>44197</v>
      </c>
      <c r="D5" s="353">
        <v>44348</v>
      </c>
      <c r="E5" s="353">
        <v>44470</v>
      </c>
      <c r="F5" s="353">
        <v>45474</v>
      </c>
      <c r="G5" s="374"/>
      <c r="H5" s="360">
        <v>44348</v>
      </c>
      <c r="I5" s="364"/>
      <c r="J5" s="81"/>
      <c r="K5" s="81"/>
      <c r="L5" s="46"/>
      <c r="M5" s="82"/>
    </row>
    <row r="6" spans="1:16" x14ac:dyDescent="0.25">
      <c r="A6" s="348" t="s">
        <v>20</v>
      </c>
      <c r="B6" s="353"/>
      <c r="C6" s="353">
        <v>44682</v>
      </c>
      <c r="D6" s="353">
        <v>45292</v>
      </c>
      <c r="E6" s="353">
        <v>45444</v>
      </c>
      <c r="F6" s="353">
        <v>46174</v>
      </c>
      <c r="G6" s="374"/>
      <c r="H6" s="360">
        <v>46174</v>
      </c>
      <c r="I6" s="364"/>
      <c r="J6" s="81"/>
      <c r="K6" s="81"/>
      <c r="L6" s="46"/>
      <c r="M6" s="82"/>
    </row>
    <row r="7" spans="1:16" x14ac:dyDescent="0.25">
      <c r="A7" s="348" t="s">
        <v>163</v>
      </c>
      <c r="B7" s="351"/>
      <c r="C7" s="445">
        <v>1565000</v>
      </c>
      <c r="D7" s="445">
        <v>2213000</v>
      </c>
      <c r="E7" s="443">
        <v>101000</v>
      </c>
      <c r="F7" s="443">
        <v>17877000</v>
      </c>
      <c r="G7" s="375"/>
      <c r="H7" s="361">
        <v>21756000</v>
      </c>
      <c r="I7" s="365"/>
      <c r="J7" s="83"/>
      <c r="K7" s="83"/>
      <c r="L7" s="83"/>
      <c r="M7" s="25"/>
    </row>
    <row r="8" spans="1:16" ht="15.75" thickBot="1" x14ac:dyDescent="0.3">
      <c r="A8" s="349" t="s">
        <v>162</v>
      </c>
      <c r="B8" s="350">
        <v>0</v>
      </c>
      <c r="C8" s="444">
        <v>1533700</v>
      </c>
      <c r="D8" s="444">
        <v>2168740</v>
      </c>
      <c r="E8" s="444">
        <v>98980</v>
      </c>
      <c r="F8" s="444">
        <v>17519460</v>
      </c>
      <c r="G8" s="350">
        <v>0</v>
      </c>
      <c r="H8" s="362">
        <v>21320880</v>
      </c>
      <c r="I8" s="366"/>
      <c r="J8" s="83"/>
      <c r="K8" s="83"/>
      <c r="L8" s="83"/>
      <c r="M8" s="25"/>
    </row>
    <row r="9" spans="1:16" x14ac:dyDescent="0.25">
      <c r="A9" s="356">
        <v>2021</v>
      </c>
      <c r="B9" s="357">
        <v>0</v>
      </c>
      <c r="C9" s="451">
        <v>1054418.75</v>
      </c>
      <c r="D9" s="448">
        <v>419756.12903225806</v>
      </c>
      <c r="E9" s="451">
        <v>6186.25</v>
      </c>
      <c r="F9" s="448">
        <v>0</v>
      </c>
      <c r="G9" s="376">
        <v>0</v>
      </c>
      <c r="H9" s="361">
        <v>1480361.1290322579</v>
      </c>
      <c r="I9" s="367">
        <v>1480361.1290322579</v>
      </c>
      <c r="J9" s="83"/>
      <c r="K9" s="83"/>
      <c r="L9" s="83"/>
      <c r="M9" s="25"/>
      <c r="P9" s="53"/>
    </row>
    <row r="10" spans="1:16" x14ac:dyDescent="0.25">
      <c r="A10" s="348">
        <v>2022</v>
      </c>
      <c r="B10" s="354">
        <v>0</v>
      </c>
      <c r="C10" s="447">
        <v>479281.25</v>
      </c>
      <c r="D10" s="447">
        <v>839512.25806451612</v>
      </c>
      <c r="E10" s="447">
        <v>37117.5</v>
      </c>
      <c r="F10" s="447">
        <v>0</v>
      </c>
      <c r="G10" s="358">
        <v>0</v>
      </c>
      <c r="H10" s="361">
        <v>1355911.0080645161</v>
      </c>
      <c r="I10" s="368">
        <v>1267206.5495930056</v>
      </c>
      <c r="J10" s="83"/>
      <c r="K10" s="83"/>
      <c r="L10" s="83"/>
      <c r="M10" s="25"/>
      <c r="O10" s="53"/>
      <c r="P10" s="53"/>
    </row>
    <row r="11" spans="1:16" x14ac:dyDescent="0.25">
      <c r="A11" s="348">
        <v>2023</v>
      </c>
      <c r="B11" s="354">
        <v>0</v>
      </c>
      <c r="C11" s="447">
        <v>0</v>
      </c>
      <c r="D11" s="447">
        <v>839512.25806451612</v>
      </c>
      <c r="E11" s="447">
        <v>37117.5</v>
      </c>
      <c r="F11" s="447">
        <v>0</v>
      </c>
      <c r="G11" s="358">
        <v>0</v>
      </c>
      <c r="H11" s="361">
        <v>876629.75806451612</v>
      </c>
      <c r="I11" s="368">
        <v>765682.38105032418</v>
      </c>
      <c r="J11" s="83"/>
      <c r="K11" s="83"/>
      <c r="L11" s="83"/>
      <c r="M11" s="25"/>
      <c r="P11" s="53"/>
    </row>
    <row r="12" spans="1:16" x14ac:dyDescent="0.25">
      <c r="A12" s="348">
        <v>2024</v>
      </c>
      <c r="B12" s="372">
        <v>0</v>
      </c>
      <c r="C12" s="450">
        <v>0</v>
      </c>
      <c r="D12" s="447">
        <v>69959.354838709682</v>
      </c>
      <c r="E12" s="447">
        <v>18558.75</v>
      </c>
      <c r="F12" s="447">
        <v>3808578.2608695654</v>
      </c>
      <c r="G12" s="358">
        <v>0</v>
      </c>
      <c r="H12" s="361">
        <v>3897096.3657082752</v>
      </c>
      <c r="I12" s="368">
        <v>3181191.48936672</v>
      </c>
      <c r="J12" s="83"/>
      <c r="K12" s="83"/>
      <c r="L12" s="83"/>
      <c r="M12" s="25"/>
      <c r="P12" s="53"/>
    </row>
    <row r="13" spans="1:16" x14ac:dyDescent="0.25">
      <c r="A13" s="348">
        <v>2025</v>
      </c>
      <c r="B13" s="354">
        <v>0</v>
      </c>
      <c r="C13" s="354">
        <v>0</v>
      </c>
      <c r="D13" s="354">
        <v>0</v>
      </c>
      <c r="E13" s="354">
        <v>0</v>
      </c>
      <c r="F13" s="354">
        <v>9140587.826086957</v>
      </c>
      <c r="G13" s="358">
        <v>0</v>
      </c>
      <c r="H13" s="361">
        <v>9140587.826086957</v>
      </c>
      <c r="I13" s="368">
        <v>6973310.6878216369</v>
      </c>
      <c r="J13" s="83"/>
      <c r="K13" s="83"/>
      <c r="L13" s="83"/>
      <c r="M13" s="25"/>
      <c r="P13" s="53"/>
    </row>
    <row r="14" spans="1:16" x14ac:dyDescent="0.25">
      <c r="A14" s="348">
        <v>2026</v>
      </c>
      <c r="B14" s="354">
        <v>0</v>
      </c>
      <c r="C14" s="354">
        <v>0</v>
      </c>
      <c r="D14" s="354">
        <v>0</v>
      </c>
      <c r="E14" s="354">
        <v>0</v>
      </c>
      <c r="F14" s="354">
        <v>4570293.9130434785</v>
      </c>
      <c r="G14" s="358">
        <v>0</v>
      </c>
      <c r="H14" s="361">
        <v>4570293.9130434785</v>
      </c>
      <c r="I14" s="368">
        <v>3258556.3961783345</v>
      </c>
      <c r="J14" s="83"/>
      <c r="K14" s="83"/>
      <c r="L14" s="83"/>
      <c r="M14" s="25"/>
      <c r="P14" s="53"/>
    </row>
    <row r="15" spans="1:16" x14ac:dyDescent="0.25">
      <c r="A15" s="348">
        <v>2027</v>
      </c>
      <c r="B15" s="354">
        <v>0</v>
      </c>
      <c r="C15" s="354">
        <v>0</v>
      </c>
      <c r="D15" s="354">
        <v>0</v>
      </c>
      <c r="E15" s="354">
        <v>0</v>
      </c>
      <c r="F15" s="354">
        <v>0</v>
      </c>
      <c r="G15" s="358">
        <v>0</v>
      </c>
      <c r="H15" s="361">
        <v>0</v>
      </c>
      <c r="I15" s="368">
        <v>0</v>
      </c>
      <c r="J15" s="83"/>
      <c r="K15" s="83"/>
      <c r="L15" s="83"/>
      <c r="M15" s="25"/>
      <c r="O15" s="53"/>
    </row>
    <row r="16" spans="1:16" x14ac:dyDescent="0.25">
      <c r="A16" s="348">
        <v>2028</v>
      </c>
      <c r="B16" s="354">
        <v>0</v>
      </c>
      <c r="C16" s="354">
        <v>0</v>
      </c>
      <c r="D16" s="354">
        <v>0</v>
      </c>
      <c r="E16" s="354">
        <v>0</v>
      </c>
      <c r="F16" s="354">
        <v>0</v>
      </c>
      <c r="G16" s="358">
        <v>0</v>
      </c>
      <c r="H16" s="361">
        <v>0</v>
      </c>
      <c r="I16" s="368">
        <v>0</v>
      </c>
      <c r="J16" s="83"/>
      <c r="K16" s="83"/>
      <c r="L16" s="83"/>
      <c r="M16" s="25"/>
    </row>
    <row r="17" spans="1:13" x14ac:dyDescent="0.25">
      <c r="A17" s="348">
        <v>2029</v>
      </c>
      <c r="B17" s="354">
        <v>0</v>
      </c>
      <c r="C17" s="354">
        <v>0</v>
      </c>
      <c r="D17" s="354">
        <v>0</v>
      </c>
      <c r="E17" s="354">
        <v>0</v>
      </c>
      <c r="F17" s="354">
        <v>0</v>
      </c>
      <c r="G17" s="358">
        <v>0</v>
      </c>
      <c r="H17" s="361">
        <v>0</v>
      </c>
      <c r="I17" s="368">
        <v>0</v>
      </c>
      <c r="J17" s="83"/>
      <c r="K17" s="83"/>
      <c r="L17" s="83"/>
      <c r="M17" s="25"/>
    </row>
    <row r="18" spans="1:13" x14ac:dyDescent="0.25">
      <c r="A18" s="348">
        <v>2030</v>
      </c>
      <c r="B18" s="354">
        <v>0</v>
      </c>
      <c r="C18" s="354">
        <v>0</v>
      </c>
      <c r="D18" s="354">
        <v>0</v>
      </c>
      <c r="E18" s="354">
        <v>0</v>
      </c>
      <c r="F18" s="354">
        <v>0</v>
      </c>
      <c r="G18" s="358">
        <v>0</v>
      </c>
      <c r="H18" s="361">
        <v>0</v>
      </c>
      <c r="I18" s="368">
        <v>0</v>
      </c>
      <c r="J18" s="83"/>
      <c r="K18" s="83"/>
      <c r="L18" s="83"/>
      <c r="M18" s="25"/>
    </row>
    <row r="19" spans="1:13" x14ac:dyDescent="0.25">
      <c r="A19" s="348">
        <v>2031</v>
      </c>
      <c r="B19" s="354">
        <v>0</v>
      </c>
      <c r="C19" s="354">
        <v>0</v>
      </c>
      <c r="D19" s="354">
        <v>0</v>
      </c>
      <c r="E19" s="354">
        <v>0</v>
      </c>
      <c r="F19" s="354">
        <v>0</v>
      </c>
      <c r="G19" s="358">
        <v>0</v>
      </c>
      <c r="H19" s="361">
        <v>0</v>
      </c>
      <c r="I19" s="368">
        <v>0</v>
      </c>
      <c r="J19" s="83"/>
      <c r="K19" s="83"/>
      <c r="L19" s="83"/>
      <c r="M19" s="25"/>
    </row>
    <row r="20" spans="1:13" x14ac:dyDescent="0.25">
      <c r="A20" s="348">
        <v>2032</v>
      </c>
      <c r="B20" s="354">
        <v>0</v>
      </c>
      <c r="C20" s="354">
        <v>0</v>
      </c>
      <c r="D20" s="354">
        <v>0</v>
      </c>
      <c r="E20" s="354">
        <v>0</v>
      </c>
      <c r="F20" s="354">
        <v>0</v>
      </c>
      <c r="G20" s="358">
        <v>0</v>
      </c>
      <c r="H20" s="361">
        <v>0</v>
      </c>
      <c r="I20" s="368">
        <v>0</v>
      </c>
      <c r="J20" s="83"/>
      <c r="K20" s="83"/>
      <c r="L20" s="83"/>
      <c r="M20" s="25"/>
    </row>
    <row r="21" spans="1:13" x14ac:dyDescent="0.25">
      <c r="A21" s="348">
        <v>2033</v>
      </c>
      <c r="B21" s="354">
        <v>0</v>
      </c>
      <c r="C21" s="354">
        <v>0</v>
      </c>
      <c r="D21" s="354">
        <v>0</v>
      </c>
      <c r="E21" s="354">
        <v>0</v>
      </c>
      <c r="F21" s="354">
        <v>0</v>
      </c>
      <c r="G21" s="358">
        <v>0</v>
      </c>
      <c r="H21" s="361">
        <v>0</v>
      </c>
      <c r="I21" s="368">
        <v>0</v>
      </c>
      <c r="J21" s="83"/>
      <c r="K21" s="83"/>
      <c r="L21" s="83"/>
      <c r="M21" s="25"/>
    </row>
    <row r="22" spans="1:13" x14ac:dyDescent="0.25">
      <c r="A22" s="348">
        <v>2034</v>
      </c>
      <c r="B22" s="354">
        <v>0</v>
      </c>
      <c r="C22" s="354">
        <v>0</v>
      </c>
      <c r="D22" s="354">
        <v>0</v>
      </c>
      <c r="E22" s="354">
        <v>0</v>
      </c>
      <c r="F22" s="354">
        <v>0</v>
      </c>
      <c r="G22" s="358">
        <v>0</v>
      </c>
      <c r="H22" s="361">
        <v>0</v>
      </c>
      <c r="I22" s="368">
        <v>0</v>
      </c>
      <c r="J22" s="83"/>
      <c r="K22" s="83"/>
      <c r="L22" s="83"/>
      <c r="M22" s="25"/>
    </row>
    <row r="23" spans="1:13" x14ac:dyDescent="0.25">
      <c r="A23" s="348">
        <v>2035</v>
      </c>
      <c r="B23" s="354">
        <v>0</v>
      </c>
      <c r="C23" s="354">
        <v>0</v>
      </c>
      <c r="D23" s="354">
        <v>0</v>
      </c>
      <c r="E23" s="354">
        <v>0</v>
      </c>
      <c r="F23" s="354">
        <v>0</v>
      </c>
      <c r="G23" s="358">
        <v>0</v>
      </c>
      <c r="H23" s="361">
        <v>0</v>
      </c>
      <c r="I23" s="368">
        <v>0</v>
      </c>
      <c r="J23" s="83"/>
      <c r="K23" s="83"/>
      <c r="L23" s="83"/>
      <c r="M23" s="25"/>
    </row>
    <row r="24" spans="1:13" x14ac:dyDescent="0.25">
      <c r="A24" s="348">
        <v>2036</v>
      </c>
      <c r="B24" s="354">
        <v>0</v>
      </c>
      <c r="C24" s="354">
        <v>0</v>
      </c>
      <c r="D24" s="354">
        <v>0</v>
      </c>
      <c r="E24" s="354">
        <v>0</v>
      </c>
      <c r="F24" s="354">
        <v>0</v>
      </c>
      <c r="G24" s="358">
        <v>0</v>
      </c>
      <c r="H24" s="361">
        <v>0</v>
      </c>
      <c r="I24" s="368">
        <v>0</v>
      </c>
      <c r="J24" s="83"/>
      <c r="K24" s="83"/>
      <c r="L24" s="83"/>
      <c r="M24" s="25"/>
    </row>
    <row r="25" spans="1:13" x14ac:dyDescent="0.25">
      <c r="A25" s="348">
        <v>2037</v>
      </c>
      <c r="B25" s="354">
        <v>0</v>
      </c>
      <c r="C25" s="354">
        <v>0</v>
      </c>
      <c r="D25" s="354">
        <v>0</v>
      </c>
      <c r="E25" s="354">
        <v>0</v>
      </c>
      <c r="F25" s="354">
        <v>0</v>
      </c>
      <c r="G25" s="358">
        <v>0</v>
      </c>
      <c r="H25" s="361">
        <v>0</v>
      </c>
      <c r="I25" s="368">
        <v>0</v>
      </c>
      <c r="J25" s="83"/>
      <c r="K25" s="83"/>
      <c r="L25" s="83"/>
      <c r="M25" s="25"/>
    </row>
    <row r="26" spans="1:13" x14ac:dyDescent="0.25">
      <c r="A26" s="348">
        <v>2038</v>
      </c>
      <c r="B26" s="354">
        <v>0</v>
      </c>
      <c r="C26" s="354">
        <v>0</v>
      </c>
      <c r="D26" s="354">
        <v>0</v>
      </c>
      <c r="E26" s="354">
        <v>0</v>
      </c>
      <c r="F26" s="354">
        <v>0</v>
      </c>
      <c r="G26" s="358">
        <v>0</v>
      </c>
      <c r="H26" s="361">
        <v>0</v>
      </c>
      <c r="I26" s="368">
        <v>0</v>
      </c>
      <c r="J26" s="83"/>
      <c r="K26" s="83"/>
      <c r="L26" s="83"/>
      <c r="M26" s="25"/>
    </row>
    <row r="27" spans="1:13" x14ac:dyDescent="0.25">
      <c r="A27" s="348">
        <v>2039</v>
      </c>
      <c r="B27" s="354">
        <v>0</v>
      </c>
      <c r="C27" s="354">
        <v>0</v>
      </c>
      <c r="D27" s="354">
        <v>0</v>
      </c>
      <c r="E27" s="354">
        <v>0</v>
      </c>
      <c r="F27" s="354">
        <v>0</v>
      </c>
      <c r="G27" s="358">
        <v>0</v>
      </c>
      <c r="H27" s="361">
        <v>0</v>
      </c>
      <c r="I27" s="368">
        <v>0</v>
      </c>
      <c r="J27" s="83"/>
      <c r="K27" s="83"/>
      <c r="L27" s="83"/>
      <c r="M27" s="25"/>
    </row>
    <row r="28" spans="1:13" x14ac:dyDescent="0.25">
      <c r="A28" s="348">
        <v>2040</v>
      </c>
      <c r="B28" s="354">
        <v>0</v>
      </c>
      <c r="C28" s="354">
        <v>0</v>
      </c>
      <c r="D28" s="354">
        <v>0</v>
      </c>
      <c r="E28" s="354">
        <v>0</v>
      </c>
      <c r="F28" s="354">
        <v>0</v>
      </c>
      <c r="G28" s="358">
        <v>0</v>
      </c>
      <c r="H28" s="361">
        <v>0</v>
      </c>
      <c r="I28" s="368">
        <v>0</v>
      </c>
      <c r="J28" s="83"/>
      <c r="K28" s="83"/>
      <c r="L28" s="83"/>
      <c r="M28" s="25"/>
    </row>
    <row r="29" spans="1:13" x14ac:dyDescent="0.25">
      <c r="A29" s="348">
        <v>2041</v>
      </c>
      <c r="B29" s="354">
        <v>0</v>
      </c>
      <c r="C29" s="354">
        <v>0</v>
      </c>
      <c r="D29" s="354">
        <v>0</v>
      </c>
      <c r="E29" s="354">
        <v>0</v>
      </c>
      <c r="F29" s="354">
        <v>0</v>
      </c>
      <c r="G29" s="358">
        <v>0</v>
      </c>
      <c r="H29" s="361">
        <v>0</v>
      </c>
      <c r="I29" s="368">
        <v>0</v>
      </c>
      <c r="J29" s="83"/>
      <c r="K29" s="83"/>
      <c r="L29" s="83"/>
      <c r="M29" s="25"/>
    </row>
    <row r="30" spans="1:13" x14ac:dyDescent="0.25">
      <c r="A30" s="348">
        <v>2042</v>
      </c>
      <c r="B30" s="354">
        <v>0</v>
      </c>
      <c r="C30" s="354">
        <v>0</v>
      </c>
      <c r="D30" s="354">
        <v>0</v>
      </c>
      <c r="E30" s="354">
        <v>0</v>
      </c>
      <c r="F30" s="354">
        <v>0</v>
      </c>
      <c r="G30" s="358">
        <v>0</v>
      </c>
      <c r="H30" s="361">
        <v>0</v>
      </c>
      <c r="I30" s="368">
        <v>0</v>
      </c>
      <c r="J30" s="83"/>
      <c r="K30" s="83"/>
      <c r="L30" s="83"/>
      <c r="M30" s="25"/>
    </row>
    <row r="31" spans="1:13" x14ac:dyDescent="0.25">
      <c r="A31" s="348">
        <v>2043</v>
      </c>
      <c r="B31" s="354">
        <v>0</v>
      </c>
      <c r="C31" s="354">
        <v>0</v>
      </c>
      <c r="D31" s="354">
        <v>0</v>
      </c>
      <c r="E31" s="354">
        <v>0</v>
      </c>
      <c r="F31" s="354">
        <v>0</v>
      </c>
      <c r="G31" s="358">
        <v>0</v>
      </c>
      <c r="H31" s="361">
        <v>0</v>
      </c>
      <c r="I31" s="368">
        <v>0</v>
      </c>
      <c r="J31" s="83"/>
      <c r="K31" s="83"/>
      <c r="L31" s="83"/>
      <c r="M31" s="25"/>
    </row>
    <row r="32" spans="1:13" x14ac:dyDescent="0.25">
      <c r="A32" s="348">
        <v>2044</v>
      </c>
      <c r="B32" s="354">
        <v>0</v>
      </c>
      <c r="C32" s="354">
        <v>0</v>
      </c>
      <c r="D32" s="354">
        <v>0</v>
      </c>
      <c r="E32" s="354">
        <v>0</v>
      </c>
      <c r="F32" s="354">
        <v>0</v>
      </c>
      <c r="G32" s="358">
        <v>0</v>
      </c>
      <c r="H32" s="361">
        <v>0</v>
      </c>
      <c r="I32" s="368">
        <v>0</v>
      </c>
      <c r="J32" s="83"/>
      <c r="K32" s="83"/>
      <c r="L32" s="83"/>
      <c r="M32" s="25"/>
    </row>
    <row r="33" spans="1:13" x14ac:dyDescent="0.25">
      <c r="A33" s="348">
        <v>2045</v>
      </c>
      <c r="B33" s="354">
        <v>0</v>
      </c>
      <c r="C33" s="354">
        <v>0</v>
      </c>
      <c r="D33" s="354">
        <v>0</v>
      </c>
      <c r="E33" s="354">
        <v>0</v>
      </c>
      <c r="F33" s="354">
        <v>0</v>
      </c>
      <c r="G33" s="358">
        <v>0</v>
      </c>
      <c r="H33" s="361">
        <v>0</v>
      </c>
      <c r="I33" s="368">
        <v>0</v>
      </c>
      <c r="J33" s="83"/>
      <c r="K33" s="83"/>
      <c r="L33" s="83"/>
      <c r="M33" s="25"/>
    </row>
    <row r="34" spans="1:13" x14ac:dyDescent="0.25">
      <c r="A34" s="348">
        <v>2046</v>
      </c>
      <c r="B34" s="354">
        <v>0</v>
      </c>
      <c r="C34" s="354">
        <v>0</v>
      </c>
      <c r="D34" s="354">
        <v>0</v>
      </c>
      <c r="E34" s="354">
        <v>0</v>
      </c>
      <c r="F34" s="354">
        <v>0</v>
      </c>
      <c r="G34" s="358">
        <v>0</v>
      </c>
      <c r="H34" s="361">
        <v>0</v>
      </c>
      <c r="I34" s="368">
        <v>0</v>
      </c>
      <c r="J34" s="83"/>
      <c r="K34" s="83"/>
      <c r="L34" s="83"/>
      <c r="M34" s="25"/>
    </row>
    <row r="35" spans="1:13" x14ac:dyDescent="0.25">
      <c r="A35" s="348">
        <v>2047</v>
      </c>
      <c r="B35" s="354">
        <v>0</v>
      </c>
      <c r="C35" s="354">
        <v>0</v>
      </c>
      <c r="D35" s="354">
        <v>0</v>
      </c>
      <c r="E35" s="354">
        <v>0</v>
      </c>
      <c r="F35" s="354">
        <v>0</v>
      </c>
      <c r="G35" s="358">
        <v>0</v>
      </c>
      <c r="H35" s="361">
        <v>0</v>
      </c>
      <c r="I35" s="368">
        <v>0</v>
      </c>
      <c r="J35" s="83"/>
      <c r="K35" s="83"/>
      <c r="L35" s="83"/>
      <c r="M35" s="25"/>
    </row>
    <row r="36" spans="1:13" x14ac:dyDescent="0.25">
      <c r="A36" s="348">
        <v>2048</v>
      </c>
      <c r="B36" s="354">
        <v>0</v>
      </c>
      <c r="C36" s="354">
        <v>0</v>
      </c>
      <c r="D36" s="354">
        <v>0</v>
      </c>
      <c r="E36" s="354">
        <v>0</v>
      </c>
      <c r="F36" s="354">
        <v>0</v>
      </c>
      <c r="G36" s="358">
        <v>0</v>
      </c>
      <c r="H36" s="361">
        <v>0</v>
      </c>
      <c r="I36" s="368">
        <v>0</v>
      </c>
      <c r="J36" s="83"/>
      <c r="K36" s="83"/>
      <c r="L36" s="83"/>
      <c r="M36" s="25"/>
    </row>
    <row r="37" spans="1:13" x14ac:dyDescent="0.25">
      <c r="A37" s="348">
        <v>2049</v>
      </c>
      <c r="B37" s="354">
        <v>0</v>
      </c>
      <c r="C37" s="354">
        <v>0</v>
      </c>
      <c r="D37" s="354">
        <v>0</v>
      </c>
      <c r="E37" s="354">
        <v>0</v>
      </c>
      <c r="F37" s="354">
        <v>0</v>
      </c>
      <c r="G37" s="358">
        <v>0</v>
      </c>
      <c r="H37" s="361">
        <v>0</v>
      </c>
      <c r="I37" s="368">
        <v>0</v>
      </c>
      <c r="J37" s="83"/>
      <c r="K37" s="83"/>
      <c r="L37" s="83"/>
      <c r="M37" s="25"/>
    </row>
    <row r="38" spans="1:13" x14ac:dyDescent="0.25">
      <c r="A38" s="348">
        <v>2050</v>
      </c>
      <c r="B38" s="354">
        <v>0</v>
      </c>
      <c r="C38" s="354">
        <v>0</v>
      </c>
      <c r="D38" s="354">
        <v>0</v>
      </c>
      <c r="E38" s="354">
        <v>0</v>
      </c>
      <c r="F38" s="354">
        <v>0</v>
      </c>
      <c r="G38" s="358">
        <v>0</v>
      </c>
      <c r="H38" s="361">
        <v>0</v>
      </c>
      <c r="I38" s="368">
        <v>0</v>
      </c>
      <c r="J38" s="83"/>
      <c r="K38" s="83"/>
      <c r="L38" s="83"/>
      <c r="M38" s="25"/>
    </row>
    <row r="39" spans="1:13" x14ac:dyDescent="0.25">
      <c r="A39" s="348">
        <v>2051</v>
      </c>
      <c r="B39" s="354">
        <v>0</v>
      </c>
      <c r="C39" s="354">
        <v>0</v>
      </c>
      <c r="D39" s="354">
        <v>0</v>
      </c>
      <c r="E39" s="354">
        <v>0</v>
      </c>
      <c r="F39" s="354">
        <v>0</v>
      </c>
      <c r="G39" s="358">
        <v>0</v>
      </c>
      <c r="H39" s="361">
        <v>0</v>
      </c>
      <c r="I39" s="368">
        <v>0</v>
      </c>
      <c r="J39" s="83"/>
      <c r="K39" s="83"/>
      <c r="L39" s="83"/>
      <c r="M39" s="25"/>
    </row>
    <row r="40" spans="1:13" x14ac:dyDescent="0.25">
      <c r="A40" s="348">
        <v>2052</v>
      </c>
      <c r="B40" s="354">
        <v>0</v>
      </c>
      <c r="C40" s="354">
        <v>0</v>
      </c>
      <c r="D40" s="354">
        <v>0</v>
      </c>
      <c r="E40" s="354">
        <v>0</v>
      </c>
      <c r="F40" s="354">
        <v>0</v>
      </c>
      <c r="G40" s="358">
        <v>0</v>
      </c>
      <c r="H40" s="361">
        <v>0</v>
      </c>
      <c r="I40" s="368">
        <v>0</v>
      </c>
      <c r="J40" s="83"/>
      <c r="K40" s="83"/>
      <c r="L40" s="83"/>
      <c r="M40" s="25"/>
    </row>
    <row r="41" spans="1:13" x14ac:dyDescent="0.25">
      <c r="A41" s="348">
        <v>2053</v>
      </c>
      <c r="B41" s="354">
        <v>0</v>
      </c>
      <c r="C41" s="354">
        <v>0</v>
      </c>
      <c r="D41" s="354">
        <v>0</v>
      </c>
      <c r="E41" s="354">
        <v>0</v>
      </c>
      <c r="F41" s="354">
        <v>0</v>
      </c>
      <c r="G41" s="358">
        <v>0</v>
      </c>
      <c r="H41" s="361">
        <v>0</v>
      </c>
      <c r="I41" s="368">
        <v>0</v>
      </c>
      <c r="J41" s="83"/>
      <c r="K41" s="83"/>
      <c r="L41" s="83"/>
      <c r="M41" s="25"/>
    </row>
    <row r="42" spans="1:13" x14ac:dyDescent="0.25">
      <c r="A42" s="348">
        <v>2054</v>
      </c>
      <c r="B42" s="354">
        <v>0</v>
      </c>
      <c r="C42" s="354">
        <v>0</v>
      </c>
      <c r="D42" s="354">
        <v>0</v>
      </c>
      <c r="E42" s="354">
        <v>0</v>
      </c>
      <c r="F42" s="354">
        <v>0</v>
      </c>
      <c r="G42" s="358">
        <v>0</v>
      </c>
      <c r="H42" s="361">
        <v>0</v>
      </c>
      <c r="I42" s="368">
        <v>0</v>
      </c>
      <c r="J42" s="83"/>
      <c r="K42" s="83"/>
      <c r="L42" s="83"/>
      <c r="M42" s="25"/>
    </row>
    <row r="43" spans="1:13" x14ac:dyDescent="0.25">
      <c r="A43" s="348">
        <v>2055</v>
      </c>
      <c r="B43" s="354">
        <v>0</v>
      </c>
      <c r="C43" s="354">
        <v>0</v>
      </c>
      <c r="D43" s="354">
        <v>0</v>
      </c>
      <c r="E43" s="354">
        <v>0</v>
      </c>
      <c r="F43" s="354">
        <v>0</v>
      </c>
      <c r="G43" s="358">
        <v>0</v>
      </c>
      <c r="H43" s="361">
        <v>0</v>
      </c>
      <c r="I43" s="368">
        <v>0</v>
      </c>
      <c r="J43" s="83"/>
      <c r="K43" s="83"/>
      <c r="L43" s="83"/>
      <c r="M43" s="25"/>
    </row>
    <row r="44" spans="1:13" x14ac:dyDescent="0.25">
      <c r="A44" s="348">
        <v>2056</v>
      </c>
      <c r="B44" s="354">
        <v>0</v>
      </c>
      <c r="C44" s="354">
        <v>0</v>
      </c>
      <c r="D44" s="354">
        <v>0</v>
      </c>
      <c r="E44" s="354">
        <v>0</v>
      </c>
      <c r="F44" s="354">
        <v>0</v>
      </c>
      <c r="G44" s="358">
        <v>0</v>
      </c>
      <c r="H44" s="361">
        <v>0</v>
      </c>
      <c r="I44" s="368">
        <v>0</v>
      </c>
      <c r="J44" s="83"/>
      <c r="K44" s="83"/>
      <c r="L44" s="83"/>
      <c r="M44" s="25"/>
    </row>
    <row r="45" spans="1:13" s="378" customFormat="1" x14ac:dyDescent="0.25">
      <c r="A45" s="348">
        <v>2057</v>
      </c>
      <c r="B45" s="447">
        <v>0</v>
      </c>
      <c r="C45" s="447">
        <v>0</v>
      </c>
      <c r="D45" s="447">
        <v>0</v>
      </c>
      <c r="E45" s="447">
        <v>0</v>
      </c>
      <c r="F45" s="447">
        <v>0</v>
      </c>
      <c r="G45" s="358">
        <v>0</v>
      </c>
      <c r="H45" s="361">
        <v>0</v>
      </c>
      <c r="I45" s="368">
        <v>0</v>
      </c>
      <c r="J45" s="83"/>
      <c r="K45" s="83"/>
      <c r="L45" s="83"/>
      <c r="M45" s="25"/>
    </row>
    <row r="46" spans="1:13" ht="15.75" thickBot="1" x14ac:dyDescent="0.3">
      <c r="A46" s="349" t="s">
        <v>18</v>
      </c>
      <c r="B46" s="355">
        <v>0</v>
      </c>
      <c r="C46" s="355">
        <v>1533700</v>
      </c>
      <c r="D46" s="355">
        <v>2168740.0000000005</v>
      </c>
      <c r="E46" s="355">
        <v>98980</v>
      </c>
      <c r="F46" s="355">
        <v>17519460</v>
      </c>
      <c r="G46" s="355">
        <v>0</v>
      </c>
      <c r="H46" s="362">
        <v>21320880</v>
      </c>
      <c r="I46" s="369">
        <v>16926308.63304228</v>
      </c>
      <c r="J46" s="83"/>
      <c r="K46" s="83"/>
      <c r="L46" s="83"/>
      <c r="M46" s="25"/>
    </row>
    <row r="47" spans="1:13" x14ac:dyDescent="0.25">
      <c r="A47" s="90" t="s">
        <v>21</v>
      </c>
      <c r="B47" s="28"/>
      <c r="C47" s="28"/>
      <c r="D47" s="28"/>
      <c r="E47" s="39"/>
      <c r="F47" s="40"/>
      <c r="G47" s="40"/>
      <c r="H47" s="40"/>
    </row>
    <row r="48" spans="1:13" x14ac:dyDescent="0.25">
      <c r="A48" s="80"/>
      <c r="E48" s="41"/>
      <c r="F48" s="42"/>
      <c r="G48" s="42"/>
      <c r="H48" s="42"/>
    </row>
    <row r="49" spans="1:8" x14ac:dyDescent="0.25">
      <c r="B49" s="28"/>
      <c r="C49" s="28"/>
      <c r="D49" s="28"/>
      <c r="E49" s="39"/>
      <c r="F49" s="40"/>
      <c r="G49" s="40"/>
      <c r="H49" s="40"/>
    </row>
    <row r="50" spans="1:8" ht="15.75" thickBot="1" x14ac:dyDescent="0.3">
      <c r="A50" s="54" t="s">
        <v>7</v>
      </c>
      <c r="B50" s="2"/>
      <c r="C50" s="2"/>
      <c r="D50" s="2"/>
    </row>
    <row r="51" spans="1:8" x14ac:dyDescent="0.25">
      <c r="A51" s="11" t="s">
        <v>13</v>
      </c>
      <c r="B51" s="84"/>
      <c r="C51" s="84"/>
      <c r="D51" s="84">
        <v>60</v>
      </c>
    </row>
    <row r="52" spans="1:8" x14ac:dyDescent="0.25">
      <c r="A52" s="12" t="s">
        <v>14</v>
      </c>
      <c r="B52" s="85"/>
      <c r="C52" s="85"/>
      <c r="D52" s="85">
        <v>30</v>
      </c>
    </row>
    <row r="53" spans="1:8" x14ac:dyDescent="0.25">
      <c r="A53" s="12" t="s">
        <v>167</v>
      </c>
      <c r="B53" s="86"/>
      <c r="C53" s="86"/>
      <c r="D53" s="86">
        <f>H8</f>
        <v>21320880</v>
      </c>
    </row>
    <row r="54" spans="1:8" x14ac:dyDescent="0.25">
      <c r="A54" s="12" t="s">
        <v>173</v>
      </c>
      <c r="B54" s="87"/>
      <c r="C54" s="87"/>
      <c r="D54" s="87">
        <f>D53*((D51-D52)/D51)</f>
        <v>10660440</v>
      </c>
      <c r="E54" s="2"/>
    </row>
    <row r="55" spans="1:8" ht="30.75" thickBot="1" x14ac:dyDescent="0.3">
      <c r="A55" s="88" t="s">
        <v>168</v>
      </c>
      <c r="B55" s="89"/>
      <c r="C55" s="89"/>
      <c r="D55" s="89">
        <f>D54*(1.07)^-D52</f>
        <v>1400431.2703994755</v>
      </c>
    </row>
    <row r="56" spans="1:8" x14ac:dyDescent="0.25">
      <c r="B56" s="28"/>
      <c r="C56" s="28"/>
      <c r="D56" s="28"/>
      <c r="E56" s="39"/>
      <c r="F56" s="40"/>
      <c r="G56" s="40"/>
      <c r="H56" s="40"/>
    </row>
    <row r="57" spans="1:8" x14ac:dyDescent="0.25">
      <c r="A57" s="16"/>
      <c r="B57" s="28"/>
      <c r="C57" s="28"/>
      <c r="D57" s="28"/>
      <c r="E57" s="39"/>
      <c r="F57" s="43"/>
      <c r="G57" s="43"/>
      <c r="H57" s="40"/>
    </row>
    <row r="58" spans="1:8" x14ac:dyDescent="0.25">
      <c r="B58" s="28"/>
      <c r="C58" s="28"/>
      <c r="D58" s="28"/>
      <c r="E58" s="39"/>
      <c r="F58" s="2"/>
      <c r="G58" s="2"/>
      <c r="H58" s="2"/>
    </row>
    <row r="59" spans="1:8" x14ac:dyDescent="0.25">
      <c r="B59" s="28"/>
      <c r="C59" s="28"/>
      <c r="D59" s="28"/>
      <c r="E59" s="39"/>
      <c r="F59" s="2"/>
      <c r="G59" s="2"/>
      <c r="H59" s="2"/>
    </row>
    <row r="60" spans="1:8" x14ac:dyDescent="0.25">
      <c r="A60" s="1"/>
      <c r="B60" s="29"/>
      <c r="C60" s="29"/>
      <c r="D60" s="29"/>
      <c r="E60" s="2"/>
      <c r="F60" s="2"/>
      <c r="G60" s="2"/>
      <c r="H60" s="2"/>
    </row>
    <row r="61" spans="1:8" x14ac:dyDescent="0.25">
      <c r="B61" s="28"/>
      <c r="C61" s="28"/>
      <c r="D61" s="28"/>
      <c r="E61" s="39"/>
      <c r="F61" s="2"/>
      <c r="G61" s="2"/>
      <c r="H61" s="2"/>
    </row>
    <row r="62" spans="1:8" x14ac:dyDescent="0.25">
      <c r="B62" s="30"/>
      <c r="C62" s="30"/>
      <c r="D62" s="30"/>
      <c r="E62" s="2"/>
      <c r="F62" s="44"/>
      <c r="G62" s="44"/>
      <c r="H62" s="2"/>
    </row>
    <row r="63" spans="1:8" x14ac:dyDescent="0.25">
      <c r="B63" s="30"/>
      <c r="C63" s="30"/>
      <c r="D63" s="30"/>
      <c r="F63" s="32"/>
      <c r="G63" s="32"/>
      <c r="H63" s="10"/>
    </row>
    <row r="64" spans="1:8" x14ac:dyDescent="0.25">
      <c r="B64" s="30"/>
      <c r="C64" s="30"/>
      <c r="D64" s="30"/>
      <c r="F64" s="31"/>
      <c r="G64" s="31"/>
    </row>
    <row r="65" spans="1:8" x14ac:dyDescent="0.25">
      <c r="B65" s="30"/>
      <c r="C65" s="30"/>
      <c r="D65" s="30"/>
      <c r="F65" s="31"/>
      <c r="G65" s="31"/>
    </row>
    <row r="66" spans="1:8" x14ac:dyDescent="0.25">
      <c r="B66" s="30"/>
      <c r="C66" s="30"/>
      <c r="D66" s="30"/>
      <c r="F66" s="28"/>
      <c r="G66" s="28"/>
    </row>
    <row r="67" spans="1:8" x14ac:dyDescent="0.25">
      <c r="B67" s="30"/>
      <c r="C67" s="30"/>
      <c r="D67" s="30"/>
      <c r="F67" s="28"/>
      <c r="G67" s="28"/>
    </row>
    <row r="68" spans="1:8" x14ac:dyDescent="0.25">
      <c r="B68" s="30"/>
      <c r="C68" s="30"/>
      <c r="D68" s="30"/>
      <c r="F68" s="28"/>
      <c r="G68" s="28"/>
    </row>
    <row r="69" spans="1:8" x14ac:dyDescent="0.25">
      <c r="B69" s="30"/>
      <c r="C69" s="30"/>
      <c r="D69" s="30"/>
      <c r="F69" s="33"/>
      <c r="G69" s="33"/>
    </row>
    <row r="70" spans="1:8" x14ac:dyDescent="0.25">
      <c r="B70" s="30"/>
      <c r="C70" s="30"/>
      <c r="D70" s="30"/>
      <c r="F70" s="33"/>
      <c r="G70" s="33"/>
    </row>
    <row r="71" spans="1:8" x14ac:dyDescent="0.25">
      <c r="E71" s="10"/>
    </row>
    <row r="72" spans="1:8" x14ac:dyDescent="0.25">
      <c r="A72" s="30"/>
      <c r="B72" s="34"/>
      <c r="C72" s="34"/>
      <c r="D72" s="34"/>
      <c r="E72" s="35"/>
      <c r="F72" s="34"/>
      <c r="G72" s="34"/>
    </row>
    <row r="73" spans="1:8" x14ac:dyDescent="0.25">
      <c r="A73" s="30"/>
      <c r="B73" s="34"/>
      <c r="C73" s="34"/>
      <c r="D73" s="34"/>
      <c r="E73" s="35"/>
      <c r="F73" s="34"/>
      <c r="G73" s="34"/>
    </row>
    <row r="74" spans="1:8" x14ac:dyDescent="0.25">
      <c r="A74" s="30"/>
      <c r="B74" s="34"/>
      <c r="C74" s="34"/>
      <c r="D74" s="34"/>
      <c r="E74" s="35"/>
      <c r="F74" s="34"/>
      <c r="G74" s="34"/>
    </row>
    <row r="75" spans="1:8" x14ac:dyDescent="0.25">
      <c r="A75" s="30"/>
      <c r="B75" s="34"/>
      <c r="C75" s="34"/>
      <c r="D75" s="34"/>
      <c r="E75" s="35"/>
      <c r="F75" s="34"/>
      <c r="G75" s="34"/>
    </row>
    <row r="76" spans="1:8" x14ac:dyDescent="0.25">
      <c r="A76" s="30"/>
      <c r="E76" s="10"/>
      <c r="F76" s="34"/>
      <c r="G76" s="34"/>
    </row>
    <row r="77" spans="1:8" x14ac:dyDescent="0.25">
      <c r="A77" s="30"/>
      <c r="B77" s="28"/>
      <c r="C77" s="28"/>
      <c r="D77" s="28"/>
    </row>
    <row r="78" spans="1:8" x14ac:dyDescent="0.25">
      <c r="A78" s="36"/>
    </row>
    <row r="79" spans="1:8" x14ac:dyDescent="0.25">
      <c r="A79" s="36"/>
      <c r="B79" s="309"/>
      <c r="C79" s="309"/>
      <c r="D79" s="62"/>
      <c r="E79" s="62"/>
      <c r="F79" s="62"/>
      <c r="G79" s="309"/>
      <c r="H79" s="62"/>
    </row>
    <row r="80" spans="1:8" x14ac:dyDescent="0.25">
      <c r="A80" s="30"/>
      <c r="B80" s="38"/>
      <c r="C80" s="38"/>
      <c r="D80" s="38"/>
      <c r="E80" s="38"/>
      <c r="F80" s="38"/>
      <c r="G80" s="38"/>
      <c r="H80" s="38"/>
    </row>
    <row r="81" spans="1:8" x14ac:dyDescent="0.25">
      <c r="A81" s="30"/>
      <c r="B81" s="38"/>
      <c r="C81" s="38"/>
      <c r="D81" s="38"/>
      <c r="E81" s="38"/>
      <c r="F81" s="38"/>
      <c r="G81" s="38"/>
      <c r="H81" s="38"/>
    </row>
    <row r="82" spans="1:8" x14ac:dyDescent="0.25">
      <c r="A82" s="30"/>
      <c r="B82" s="37"/>
      <c r="C82" s="37"/>
      <c r="D82" s="37"/>
      <c r="E82" s="37"/>
      <c r="F82" s="37"/>
      <c r="G82" s="37"/>
      <c r="H82" s="37"/>
    </row>
    <row r="83" spans="1:8" x14ac:dyDescent="0.25">
      <c r="A83" s="30"/>
      <c r="B83" s="37"/>
      <c r="C83" s="37"/>
      <c r="D83" s="37"/>
      <c r="E83" s="37"/>
      <c r="F83" s="37"/>
      <c r="G83" s="37"/>
      <c r="H83" s="37"/>
    </row>
    <row r="84" spans="1:8" x14ac:dyDescent="0.25">
      <c r="A84" s="30"/>
      <c r="B84" s="37"/>
      <c r="C84" s="37"/>
      <c r="D84" s="37"/>
      <c r="E84" s="37"/>
      <c r="F84" s="37"/>
      <c r="G84" s="37"/>
      <c r="H84" s="37"/>
    </row>
    <row r="85" spans="1:8" x14ac:dyDescent="0.25">
      <c r="A85" s="30"/>
      <c r="B85" s="37"/>
      <c r="C85" s="37"/>
      <c r="D85" s="37"/>
      <c r="E85" s="37"/>
      <c r="F85" s="37"/>
      <c r="G85" s="37"/>
      <c r="H85" s="37"/>
    </row>
    <row r="86" spans="1:8" x14ac:dyDescent="0.25">
      <c r="A86" s="30"/>
      <c r="B86" s="37"/>
      <c r="C86" s="37"/>
      <c r="D86" s="37"/>
      <c r="E86" s="37"/>
      <c r="F86" s="37"/>
      <c r="G86" s="37"/>
      <c r="H86" s="37"/>
    </row>
    <row r="87" spans="1:8" x14ac:dyDescent="0.25">
      <c r="A87" s="30"/>
      <c r="B87" s="37"/>
      <c r="C87" s="37"/>
      <c r="D87" s="37"/>
      <c r="E87" s="37"/>
      <c r="F87" s="37"/>
      <c r="G87" s="37"/>
      <c r="H87" s="37"/>
    </row>
    <row r="88" spans="1:8" x14ac:dyDescent="0.25">
      <c r="A88" s="30"/>
      <c r="B88" s="37"/>
      <c r="C88" s="37"/>
      <c r="D88" s="37"/>
      <c r="E88" s="37"/>
      <c r="F88" s="37"/>
      <c r="G88" s="37"/>
      <c r="H88" s="37"/>
    </row>
    <row r="89" spans="1:8" x14ac:dyDescent="0.25">
      <c r="A89" s="30"/>
      <c r="B89" s="37"/>
      <c r="C89" s="37"/>
      <c r="D89" s="37"/>
      <c r="E89" s="37"/>
      <c r="F89" s="37"/>
      <c r="G89" s="37"/>
      <c r="H89" s="37"/>
    </row>
    <row r="90" spans="1:8" x14ac:dyDescent="0.25">
      <c r="A90" s="30"/>
      <c r="B90" s="37"/>
      <c r="C90" s="37"/>
      <c r="D90" s="37"/>
      <c r="E90" s="37"/>
      <c r="F90" s="37"/>
      <c r="G90" s="37"/>
      <c r="H90" s="37"/>
    </row>
    <row r="91" spans="1:8" x14ac:dyDescent="0.25">
      <c r="A91" s="30"/>
      <c r="B91" s="37"/>
      <c r="C91" s="37"/>
      <c r="D91" s="37"/>
      <c r="E91" s="37"/>
      <c r="F91" s="37"/>
      <c r="G91" s="37"/>
      <c r="H91" s="37"/>
    </row>
    <row r="92" spans="1:8" x14ac:dyDescent="0.25">
      <c r="A92" s="30"/>
      <c r="B92" s="37"/>
      <c r="C92" s="37"/>
      <c r="D92" s="37"/>
      <c r="E92" s="37"/>
      <c r="F92" s="37"/>
      <c r="G92" s="37"/>
      <c r="H92" s="37"/>
    </row>
    <row r="93" spans="1:8" x14ac:dyDescent="0.25">
      <c r="A93" s="30"/>
      <c r="B93" s="37"/>
      <c r="C93" s="37"/>
      <c r="D93" s="37"/>
      <c r="E93" s="37"/>
      <c r="F93" s="37"/>
      <c r="G93" s="37"/>
      <c r="H93" s="37"/>
    </row>
    <row r="94" spans="1:8" x14ac:dyDescent="0.25">
      <c r="A94" s="30"/>
      <c r="B94" s="37"/>
      <c r="C94" s="37"/>
      <c r="D94" s="37"/>
      <c r="E94" s="37"/>
      <c r="F94" s="37"/>
      <c r="G94" s="37"/>
      <c r="H94" s="37"/>
    </row>
  </sheetData>
  <pageMargins left="0.7" right="0.7" top="0.75" bottom="0.75" header="0.3" footer="0.3"/>
  <pageSetup scale="60" orientation="landscape" horizontalDpi="300" verticalDpi="300" r:id="rId1"/>
  <headerFooter>
    <oddHeader>&amp;LBCA Analysis&amp;CI-680 Highway Preservation</oddHeader>
    <oddFooter>&amp;RPage 2 of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71CC3-E340-443A-A0E1-2557B9D0B10E}">
  <sheetPr>
    <tabColor theme="6" tint="0.59999389629810485"/>
    <pageSetUpPr fitToPage="1"/>
  </sheetPr>
  <dimension ref="B1:P169"/>
  <sheetViews>
    <sheetView zoomScale="60" zoomScaleNormal="60" workbookViewId="0">
      <selection activeCell="T174" sqref="T174"/>
    </sheetView>
  </sheetViews>
  <sheetFormatPr defaultColWidth="8.85546875" defaultRowHeight="15" x14ac:dyDescent="0.25"/>
  <cols>
    <col min="1" max="1" width="5.140625" style="52" customWidth="1"/>
    <col min="2" max="2" width="42.7109375" style="52" bestFit="1" customWidth="1"/>
    <col min="3" max="4" width="12.140625" style="52" customWidth="1"/>
    <col min="5" max="5" width="15.5703125" style="52" customWidth="1"/>
    <col min="6" max="6" width="20.42578125" style="52" customWidth="1"/>
    <col min="7" max="7" width="16.42578125" style="52" customWidth="1"/>
    <col min="8" max="8" width="18.28515625" style="52" bestFit="1" customWidth="1"/>
    <col min="9" max="9" width="20.28515625" style="52" customWidth="1"/>
    <col min="10" max="10" width="15" style="52" customWidth="1"/>
    <col min="11" max="11" width="13.5703125" style="52" customWidth="1"/>
    <col min="12" max="12" width="17.28515625" style="52" bestFit="1" customWidth="1"/>
    <col min="13" max="13" width="20.140625" style="52" bestFit="1" customWidth="1"/>
    <col min="14" max="14" width="24.85546875" style="52" customWidth="1"/>
    <col min="15" max="15" width="19.7109375" style="52" customWidth="1"/>
    <col min="16" max="16" width="11.7109375" style="52" bestFit="1" customWidth="1"/>
    <col min="17" max="17" width="8.28515625" style="52" bestFit="1" customWidth="1"/>
    <col min="18" max="18" width="9.85546875" style="52" bestFit="1" customWidth="1"/>
    <col min="19" max="19" width="8.42578125" style="52" bestFit="1" customWidth="1"/>
    <col min="20" max="21" width="9.5703125" style="52" bestFit="1" customWidth="1"/>
    <col min="22" max="22" width="11" style="52" bestFit="1" customWidth="1"/>
    <col min="23" max="23" width="6" style="52" bestFit="1" customWidth="1"/>
    <col min="24" max="24" width="5.28515625" style="52" bestFit="1" customWidth="1"/>
    <col min="25" max="16384" width="8.85546875" style="52"/>
  </cols>
  <sheetData>
    <row r="1" spans="2:16" ht="18.75" x14ac:dyDescent="0.3">
      <c r="B1" s="79" t="s">
        <v>126</v>
      </c>
    </row>
    <row r="3" spans="2:16" ht="15.75" thickBot="1" x14ac:dyDescent="0.3">
      <c r="B3" s="18" t="s">
        <v>138</v>
      </c>
    </row>
    <row r="4" spans="2:16" x14ac:dyDescent="0.25">
      <c r="B4" s="574" t="s">
        <v>1</v>
      </c>
      <c r="C4" s="576" t="s">
        <v>2</v>
      </c>
      <c r="D4" s="590" t="s">
        <v>22</v>
      </c>
      <c r="E4" s="586" t="s">
        <v>47</v>
      </c>
      <c r="F4" s="580" t="s">
        <v>48</v>
      </c>
      <c r="G4" s="573"/>
      <c r="H4" s="567"/>
      <c r="I4" s="580" t="s">
        <v>49</v>
      </c>
      <c r="J4" s="573"/>
      <c r="K4" s="567"/>
      <c r="L4" s="566" t="s">
        <v>136</v>
      </c>
      <c r="M4" s="573"/>
      <c r="N4" s="567"/>
      <c r="O4" s="24"/>
      <c r="P4" s="19"/>
    </row>
    <row r="5" spans="2:16" ht="15.75" thickBot="1" x14ac:dyDescent="0.3">
      <c r="B5" s="575"/>
      <c r="C5" s="577"/>
      <c r="D5" s="591"/>
      <c r="E5" s="587"/>
      <c r="F5" s="380" t="s">
        <v>35</v>
      </c>
      <c r="G5" s="381" t="s">
        <v>36</v>
      </c>
      <c r="H5" s="382" t="s">
        <v>37</v>
      </c>
      <c r="I5" s="380" t="s">
        <v>35</v>
      </c>
      <c r="J5" s="381" t="s">
        <v>36</v>
      </c>
      <c r="K5" s="382" t="s">
        <v>37</v>
      </c>
      <c r="L5" s="405" t="s">
        <v>35</v>
      </c>
      <c r="M5" s="381" t="s">
        <v>36</v>
      </c>
      <c r="N5" s="382" t="s">
        <v>37</v>
      </c>
      <c r="O5" s="7"/>
      <c r="P5" s="7"/>
    </row>
    <row r="6" spans="2:16" s="378" customFormat="1" x14ac:dyDescent="0.25">
      <c r="B6" s="389">
        <f t="shared" ref="B6:B9" si="0">B7-1</f>
        <v>2021</v>
      </c>
      <c r="C6" s="384">
        <v>0</v>
      </c>
      <c r="D6" s="390">
        <v>1</v>
      </c>
      <c r="E6" s="421">
        <v>198948.30596662525</v>
      </c>
      <c r="F6" s="410">
        <v>101.81591912314495</v>
      </c>
      <c r="G6" s="406">
        <v>58.180525213225685</v>
      </c>
      <c r="H6" s="411">
        <v>0.53870856678912671</v>
      </c>
      <c r="I6" s="431">
        <v>0</v>
      </c>
      <c r="J6" s="415">
        <v>0</v>
      </c>
      <c r="K6" s="414">
        <v>0</v>
      </c>
      <c r="L6" s="400">
        <v>0</v>
      </c>
      <c r="M6" s="388">
        <v>0</v>
      </c>
      <c r="N6" s="401">
        <v>0</v>
      </c>
      <c r="O6" s="7"/>
      <c r="P6" s="7"/>
    </row>
    <row r="7" spans="2:16" s="378" customFormat="1" x14ac:dyDescent="0.25">
      <c r="B7" s="389">
        <f t="shared" si="0"/>
        <v>2022</v>
      </c>
      <c r="C7" s="384">
        <v>0</v>
      </c>
      <c r="D7" s="390">
        <f>D6+1</f>
        <v>2</v>
      </c>
      <c r="E7" s="421">
        <v>199943.04749645834</v>
      </c>
      <c r="F7" s="410">
        <v>102.32499871876067</v>
      </c>
      <c r="G7" s="406">
        <v>58.471427839291806</v>
      </c>
      <c r="H7" s="411">
        <v>0.54140210962307234</v>
      </c>
      <c r="I7" s="431">
        <v>0</v>
      </c>
      <c r="J7" s="415">
        <v>0</v>
      </c>
      <c r="K7" s="414">
        <v>0</v>
      </c>
      <c r="L7" s="400">
        <v>0</v>
      </c>
      <c r="M7" s="388">
        <v>0</v>
      </c>
      <c r="N7" s="401">
        <v>0</v>
      </c>
      <c r="O7" s="7"/>
      <c r="P7" s="7"/>
    </row>
    <row r="8" spans="2:16" x14ac:dyDescent="0.25">
      <c r="B8" s="389">
        <f t="shared" si="0"/>
        <v>2023</v>
      </c>
      <c r="C8" s="384">
        <v>0</v>
      </c>
      <c r="D8" s="390">
        <f t="shared" ref="D8:D42" si="1">D7+1</f>
        <v>3</v>
      </c>
      <c r="E8" s="421">
        <v>200942.76273394059</v>
      </c>
      <c r="F8" s="410">
        <v>102.83662371235445</v>
      </c>
      <c r="G8" s="406">
        <v>58.763784978488253</v>
      </c>
      <c r="H8" s="411">
        <v>0.54410912017118751</v>
      </c>
      <c r="I8" s="431">
        <v>0</v>
      </c>
      <c r="J8" s="415">
        <v>0</v>
      </c>
      <c r="K8" s="414">
        <v>0</v>
      </c>
      <c r="L8" s="400">
        <v>0</v>
      </c>
      <c r="M8" s="388">
        <v>0</v>
      </c>
      <c r="N8" s="401">
        <v>0</v>
      </c>
      <c r="O8" s="22"/>
      <c r="P8" s="22"/>
    </row>
    <row r="9" spans="2:16" x14ac:dyDescent="0.25">
      <c r="B9" s="389">
        <f t="shared" si="0"/>
        <v>2024</v>
      </c>
      <c r="C9" s="384">
        <v>0</v>
      </c>
      <c r="D9" s="390">
        <f t="shared" si="1"/>
        <v>4</v>
      </c>
      <c r="E9" s="421">
        <v>201947.47654761028</v>
      </c>
      <c r="F9" s="410">
        <v>103.35080683091621</v>
      </c>
      <c r="G9" s="406">
        <v>59.057603903380695</v>
      </c>
      <c r="H9" s="411">
        <v>0.54682966577204339</v>
      </c>
      <c r="I9" s="431">
        <v>0</v>
      </c>
      <c r="J9" s="415">
        <v>0</v>
      </c>
      <c r="K9" s="414">
        <v>0</v>
      </c>
      <c r="L9" s="400">
        <v>0</v>
      </c>
      <c r="M9" s="388">
        <v>0</v>
      </c>
      <c r="N9" s="401">
        <v>0</v>
      </c>
      <c r="O9" s="22"/>
      <c r="P9" s="22"/>
    </row>
    <row r="10" spans="2:16" x14ac:dyDescent="0.25">
      <c r="B10" s="389">
        <f>B11-1</f>
        <v>2025</v>
      </c>
      <c r="C10" s="384">
        <v>0</v>
      </c>
      <c r="D10" s="390">
        <f t="shared" si="1"/>
        <v>5</v>
      </c>
      <c r="E10" s="421">
        <v>202957.21393034828</v>
      </c>
      <c r="F10" s="410">
        <v>103.86756086507076</v>
      </c>
      <c r="G10" s="406">
        <v>59.352891922897591</v>
      </c>
      <c r="H10" s="411">
        <v>0.5495638141009036</v>
      </c>
      <c r="I10" s="431">
        <v>0</v>
      </c>
      <c r="J10" s="415">
        <v>0</v>
      </c>
      <c r="K10" s="414">
        <v>0</v>
      </c>
      <c r="L10" s="400">
        <v>0</v>
      </c>
      <c r="M10" s="388">
        <v>0</v>
      </c>
      <c r="N10" s="401">
        <v>0</v>
      </c>
      <c r="O10" s="22"/>
      <c r="P10" s="22"/>
    </row>
    <row r="11" spans="2:16" x14ac:dyDescent="0.25">
      <c r="B11" s="391">
        <v>2026</v>
      </c>
      <c r="C11" s="385">
        <v>1</v>
      </c>
      <c r="D11" s="392">
        <f t="shared" si="1"/>
        <v>6</v>
      </c>
      <c r="E11" s="422">
        <v>203972</v>
      </c>
      <c r="F11" s="425">
        <v>104.3868986693961</v>
      </c>
      <c r="G11" s="416">
        <v>59.64965638251207</v>
      </c>
      <c r="H11" s="426">
        <v>0.55231163317140808</v>
      </c>
      <c r="I11" s="425">
        <v>52.193449334698052</v>
      </c>
      <c r="J11" s="416">
        <v>29.824828191256035</v>
      </c>
      <c r="K11" s="432">
        <v>0.27615581658570404</v>
      </c>
      <c r="L11" s="412">
        <v>528197.70726714435</v>
      </c>
      <c r="M11" s="407">
        <v>12434434.814706504</v>
      </c>
      <c r="N11" s="408">
        <v>4884391.2477758592</v>
      </c>
      <c r="O11" s="22"/>
      <c r="P11" s="22"/>
    </row>
    <row r="12" spans="2:16" x14ac:dyDescent="0.25">
      <c r="B12" s="393">
        <f>B11+1</f>
        <v>2027</v>
      </c>
      <c r="C12" s="386">
        <f>C11+1</f>
        <v>2</v>
      </c>
      <c r="D12" s="394">
        <f t="shared" si="1"/>
        <v>7</v>
      </c>
      <c r="E12" s="423">
        <v>204991.86</v>
      </c>
      <c r="F12" s="427">
        <v>104.90883316274309</v>
      </c>
      <c r="G12" s="417">
        <v>59.94790466442462</v>
      </c>
      <c r="H12" s="428">
        <v>0.55507319133726496</v>
      </c>
      <c r="I12" s="433">
        <v>52.454416581371547</v>
      </c>
      <c r="J12" s="418">
        <v>29.97395233221231</v>
      </c>
      <c r="K12" s="434">
        <v>0.27753659566863248</v>
      </c>
      <c r="L12" s="404">
        <v>530838.69580348011</v>
      </c>
      <c r="M12" s="383">
        <v>12496606.988780035</v>
      </c>
      <c r="N12" s="402">
        <v>4908813.2040147362</v>
      </c>
      <c r="O12" s="22"/>
      <c r="P12" s="22"/>
    </row>
    <row r="13" spans="2:16" x14ac:dyDescent="0.25">
      <c r="B13" s="395">
        <f t="shared" ref="B13:C42" si="2">B12+1</f>
        <v>2028</v>
      </c>
      <c r="C13" s="387">
        <f t="shared" si="2"/>
        <v>3</v>
      </c>
      <c r="D13" s="396">
        <f t="shared" si="1"/>
        <v>8</v>
      </c>
      <c r="E13" s="423">
        <v>206016.81929999994</v>
      </c>
      <c r="F13" s="427">
        <v>105.43337732855677</v>
      </c>
      <c r="G13" s="417">
        <v>60.247644187746737</v>
      </c>
      <c r="H13" s="428">
        <v>0.55784855729395111</v>
      </c>
      <c r="I13" s="433">
        <v>52.716688664278387</v>
      </c>
      <c r="J13" s="418">
        <v>30.123822093873368</v>
      </c>
      <c r="K13" s="434">
        <v>0.27892427864697555</v>
      </c>
      <c r="L13" s="404">
        <v>533492.88928249734</v>
      </c>
      <c r="M13" s="383">
        <v>12559090.023723936</v>
      </c>
      <c r="N13" s="402">
        <v>4933357.2700348087</v>
      </c>
      <c r="O13" s="22"/>
      <c r="P13" s="22"/>
    </row>
    <row r="14" spans="2:16" x14ac:dyDescent="0.25">
      <c r="B14" s="393">
        <f t="shared" si="2"/>
        <v>2029</v>
      </c>
      <c r="C14" s="387">
        <f t="shared" si="2"/>
        <v>4</v>
      </c>
      <c r="D14" s="396">
        <f t="shared" si="1"/>
        <v>9</v>
      </c>
      <c r="E14" s="423">
        <v>207046.90339649993</v>
      </c>
      <c r="F14" s="427">
        <v>105.96054421519953</v>
      </c>
      <c r="G14" s="417">
        <v>60.548882408685458</v>
      </c>
      <c r="H14" s="428">
        <v>0.56063780008042097</v>
      </c>
      <c r="I14" s="433">
        <v>52.980272107599767</v>
      </c>
      <c r="J14" s="418">
        <v>30.274441204342729</v>
      </c>
      <c r="K14" s="434">
        <v>0.28031890004021048</v>
      </c>
      <c r="L14" s="404">
        <v>536160.35372890963</v>
      </c>
      <c r="M14" s="383">
        <v>12621885.473842552</v>
      </c>
      <c r="N14" s="402">
        <v>4958024.0563849835</v>
      </c>
      <c r="O14" s="22"/>
      <c r="P14" s="22"/>
    </row>
    <row r="15" spans="2:16" x14ac:dyDescent="0.25">
      <c r="B15" s="395">
        <f t="shared" si="2"/>
        <v>2030</v>
      </c>
      <c r="C15" s="387">
        <f t="shared" si="2"/>
        <v>5</v>
      </c>
      <c r="D15" s="396">
        <f t="shared" si="1"/>
        <v>10</v>
      </c>
      <c r="E15" s="423">
        <v>208082.13791348238</v>
      </c>
      <c r="F15" s="427">
        <v>106.49034693627553</v>
      </c>
      <c r="G15" s="417">
        <v>60.851626820728868</v>
      </c>
      <c r="H15" s="428">
        <v>0.56344098908082296</v>
      </c>
      <c r="I15" s="433">
        <v>53.245173468137764</v>
      </c>
      <c r="J15" s="418">
        <v>30.425813410364434</v>
      </c>
      <c r="K15" s="434">
        <v>0.28172049454041148</v>
      </c>
      <c r="L15" s="404">
        <v>538841.15549755422</v>
      </c>
      <c r="M15" s="383">
        <v>12684994.901211761</v>
      </c>
      <c r="N15" s="402">
        <v>4982814.176666908</v>
      </c>
      <c r="O15" s="22"/>
      <c r="P15" s="22"/>
    </row>
    <row r="16" spans="2:16" x14ac:dyDescent="0.25">
      <c r="B16" s="393">
        <f t="shared" si="2"/>
        <v>2031</v>
      </c>
      <c r="C16" s="387">
        <f t="shared" si="2"/>
        <v>6</v>
      </c>
      <c r="D16" s="396">
        <f t="shared" si="1"/>
        <v>11</v>
      </c>
      <c r="E16" s="423">
        <v>209122.54860304974</v>
      </c>
      <c r="F16" s="427">
        <v>107.02279867095689</v>
      </c>
      <c r="G16" s="417">
        <v>61.155884954832509</v>
      </c>
      <c r="H16" s="428">
        <v>0.5662581940262269</v>
      </c>
      <c r="I16" s="433">
        <v>53.511399335478444</v>
      </c>
      <c r="J16" s="418">
        <v>30.577942477416254</v>
      </c>
      <c r="K16" s="434">
        <v>0.28312909701311345</v>
      </c>
      <c r="L16" s="404">
        <v>541535.36127504194</v>
      </c>
      <c r="M16" s="383">
        <v>12748419.875717819</v>
      </c>
      <c r="N16" s="402">
        <v>5007728.2475502407</v>
      </c>
      <c r="O16" s="22"/>
      <c r="P16" s="22"/>
    </row>
    <row r="17" spans="2:16" x14ac:dyDescent="0.25">
      <c r="B17" s="395">
        <f t="shared" si="2"/>
        <v>2032</v>
      </c>
      <c r="C17" s="387">
        <f t="shared" si="2"/>
        <v>7</v>
      </c>
      <c r="D17" s="396">
        <f t="shared" si="1"/>
        <v>12</v>
      </c>
      <c r="E17" s="423">
        <v>210168.16134606494</v>
      </c>
      <c r="F17" s="427">
        <v>107.55791266431163</v>
      </c>
      <c r="G17" s="417">
        <v>61.461664379606653</v>
      </c>
      <c r="H17" s="428">
        <v>0.56908948499635792</v>
      </c>
      <c r="I17" s="433">
        <v>53.778956332155815</v>
      </c>
      <c r="J17" s="418">
        <v>30.730832189803326</v>
      </c>
      <c r="K17" s="434">
        <v>0.28454474249817896</v>
      </c>
      <c r="L17" s="404">
        <v>544243.03808141686</v>
      </c>
      <c r="M17" s="383">
        <v>12812161.975096403</v>
      </c>
      <c r="N17" s="402">
        <v>5032766.8887879904</v>
      </c>
      <c r="O17" s="22"/>
      <c r="P17" s="22"/>
    </row>
    <row r="18" spans="2:16" x14ac:dyDescent="0.25">
      <c r="B18" s="393">
        <f t="shared" si="2"/>
        <v>2033</v>
      </c>
      <c r="C18" s="387">
        <f t="shared" si="2"/>
        <v>8</v>
      </c>
      <c r="D18" s="396">
        <f t="shared" si="1"/>
        <v>13</v>
      </c>
      <c r="E18" s="423">
        <v>211219.00215279526</v>
      </c>
      <c r="F18" s="427">
        <v>108.0957022276332</v>
      </c>
      <c r="G18" s="417">
        <v>61.768972701504687</v>
      </c>
      <c r="H18" s="428">
        <v>0.57193493242133964</v>
      </c>
      <c r="I18" s="433">
        <v>54.047851113816598</v>
      </c>
      <c r="J18" s="418">
        <v>30.884486350752343</v>
      </c>
      <c r="K18" s="434">
        <v>0.28596746621066982</v>
      </c>
      <c r="L18" s="404">
        <v>546964.25327182398</v>
      </c>
      <c r="M18" s="383">
        <v>12876222.784971887</v>
      </c>
      <c r="N18" s="402">
        <v>5057930.7232319303</v>
      </c>
      <c r="O18" s="22"/>
      <c r="P18" s="22"/>
    </row>
    <row r="19" spans="2:16" x14ac:dyDescent="0.25">
      <c r="B19" s="395">
        <f t="shared" si="2"/>
        <v>2034</v>
      </c>
      <c r="C19" s="387">
        <f t="shared" si="2"/>
        <v>9</v>
      </c>
      <c r="D19" s="396">
        <f t="shared" si="1"/>
        <v>14</v>
      </c>
      <c r="E19" s="423">
        <v>212275.0971635592</v>
      </c>
      <c r="F19" s="427">
        <v>108.63618073877133</v>
      </c>
      <c r="G19" s="417">
        <v>62.077817565012204</v>
      </c>
      <c r="H19" s="428">
        <v>0.57479460708344621</v>
      </c>
      <c r="I19" s="433">
        <v>54.318090369385665</v>
      </c>
      <c r="J19" s="418">
        <v>31.038908782506102</v>
      </c>
      <c r="K19" s="434">
        <v>0.2873973035417231</v>
      </c>
      <c r="L19" s="404">
        <v>549699.07453818293</v>
      </c>
      <c r="M19" s="383">
        <v>12940603.898896743</v>
      </c>
      <c r="N19" s="402">
        <v>5083220.3768480886</v>
      </c>
      <c r="O19" s="22"/>
      <c r="P19" s="22"/>
    </row>
    <row r="20" spans="2:16" x14ac:dyDescent="0.25">
      <c r="B20" s="393">
        <f t="shared" si="2"/>
        <v>2035</v>
      </c>
      <c r="C20" s="387">
        <f t="shared" si="2"/>
        <v>10</v>
      </c>
      <c r="D20" s="396">
        <f t="shared" si="1"/>
        <v>15</v>
      </c>
      <c r="E20" s="423">
        <v>213336.47264937698</v>
      </c>
      <c r="F20" s="427">
        <v>109.17936164246517</v>
      </c>
      <c r="G20" s="417">
        <v>62.388206652837248</v>
      </c>
      <c r="H20" s="428">
        <v>0.57766858011886335</v>
      </c>
      <c r="I20" s="433">
        <v>54.589680821232584</v>
      </c>
      <c r="J20" s="418">
        <v>31.194103326418624</v>
      </c>
      <c r="K20" s="434">
        <v>0.28883429005943168</v>
      </c>
      <c r="L20" s="404">
        <v>552447.56991087378</v>
      </c>
      <c r="M20" s="383">
        <v>13005306.918391224</v>
      </c>
      <c r="N20" s="402">
        <v>5108636.4787323289</v>
      </c>
      <c r="O20" s="22"/>
      <c r="P20" s="22"/>
    </row>
    <row r="21" spans="2:16" x14ac:dyDescent="0.25">
      <c r="B21" s="395">
        <f t="shared" si="2"/>
        <v>2036</v>
      </c>
      <c r="C21" s="387">
        <f t="shared" si="2"/>
        <v>11</v>
      </c>
      <c r="D21" s="396">
        <f t="shared" si="1"/>
        <v>16</v>
      </c>
      <c r="E21" s="423">
        <v>214403.15501262384</v>
      </c>
      <c r="F21" s="427">
        <v>109.7252584506775</v>
      </c>
      <c r="G21" s="417">
        <v>62.700147686101438</v>
      </c>
      <c r="H21" s="428">
        <v>0.58055692301945772</v>
      </c>
      <c r="I21" s="433">
        <v>54.86262922533875</v>
      </c>
      <c r="J21" s="418">
        <v>31.350073843050719</v>
      </c>
      <c r="K21" s="434">
        <v>0.29027846150972886</v>
      </c>
      <c r="L21" s="404">
        <v>555209.80776042817</v>
      </c>
      <c r="M21" s="383">
        <v>13070333.452983182</v>
      </c>
      <c r="N21" s="402">
        <v>5134179.6611259906</v>
      </c>
      <c r="O21" s="22"/>
      <c r="P21" s="22"/>
    </row>
    <row r="22" spans="2:16" x14ac:dyDescent="0.25">
      <c r="B22" s="393">
        <f t="shared" si="2"/>
        <v>2037</v>
      </c>
      <c r="C22" s="387">
        <f t="shared" si="2"/>
        <v>12</v>
      </c>
      <c r="D22" s="396">
        <f t="shared" si="1"/>
        <v>17</v>
      </c>
      <c r="E22" s="423">
        <v>215475.17078768695</v>
      </c>
      <c r="F22" s="427">
        <v>110.27388474293087</v>
      </c>
      <c r="G22" s="417">
        <v>63.013648424531937</v>
      </c>
      <c r="H22" s="428">
        <v>0.5834597076345549</v>
      </c>
      <c r="I22" s="433">
        <v>55.136942371465437</v>
      </c>
      <c r="J22" s="418">
        <v>31.506824212265968</v>
      </c>
      <c r="K22" s="434">
        <v>0.29172985381727745</v>
      </c>
      <c r="L22" s="404">
        <v>557985.85679923021</v>
      </c>
      <c r="M22" s="383">
        <v>13135685.120248094</v>
      </c>
      <c r="N22" s="402">
        <v>5159850.5594316199</v>
      </c>
      <c r="O22" s="22"/>
      <c r="P22" s="22"/>
    </row>
    <row r="23" spans="2:16" x14ac:dyDescent="0.25">
      <c r="B23" s="395">
        <f t="shared" si="2"/>
        <v>2038</v>
      </c>
      <c r="C23" s="387">
        <f t="shared" si="2"/>
        <v>13</v>
      </c>
      <c r="D23" s="396">
        <f t="shared" si="1"/>
        <v>18</v>
      </c>
      <c r="E23" s="423">
        <v>216552.54664162532</v>
      </c>
      <c r="F23" s="427">
        <v>110.82525416664551</v>
      </c>
      <c r="G23" s="417">
        <v>63.328716666654579</v>
      </c>
      <c r="H23" s="428">
        <v>0.58637700617272759</v>
      </c>
      <c r="I23" s="433">
        <v>55.412627083322754</v>
      </c>
      <c r="J23" s="418">
        <v>31.664358333327289</v>
      </c>
      <c r="K23" s="434">
        <v>0.29318850308636379</v>
      </c>
      <c r="L23" s="404">
        <v>560775.78608322632</v>
      </c>
      <c r="M23" s="383">
        <v>13201363.545849333</v>
      </c>
      <c r="N23" s="402">
        <v>5185649.8122287765</v>
      </c>
      <c r="O23" s="22"/>
      <c r="P23" s="22"/>
    </row>
    <row r="24" spans="2:16" x14ac:dyDescent="0.25">
      <c r="B24" s="393">
        <f t="shared" si="2"/>
        <v>2039</v>
      </c>
      <c r="C24" s="387">
        <f t="shared" si="2"/>
        <v>14</v>
      </c>
      <c r="D24" s="396">
        <f t="shared" si="1"/>
        <v>19</v>
      </c>
      <c r="E24" s="423">
        <v>217635.30937483342</v>
      </c>
      <c r="F24" s="427">
        <v>111.3793804374787</v>
      </c>
      <c r="G24" s="417">
        <v>63.645360249987839</v>
      </c>
      <c r="H24" s="428">
        <v>0.5893088912035912</v>
      </c>
      <c r="I24" s="433">
        <v>55.689690218739351</v>
      </c>
      <c r="J24" s="418">
        <v>31.822680124993919</v>
      </c>
      <c r="K24" s="434">
        <v>0.2946544456017956</v>
      </c>
      <c r="L24" s="404">
        <v>563579.66501364228</v>
      </c>
      <c r="M24" s="383">
        <v>13267370.363578575</v>
      </c>
      <c r="N24" s="402">
        <v>5211578.0612899205</v>
      </c>
      <c r="O24" s="22"/>
      <c r="P24" s="22"/>
    </row>
    <row r="25" spans="2:16" x14ac:dyDescent="0.25">
      <c r="B25" s="395">
        <f t="shared" si="2"/>
        <v>2040</v>
      </c>
      <c r="C25" s="387">
        <f t="shared" si="2"/>
        <v>15</v>
      </c>
      <c r="D25" s="396">
        <f t="shared" si="1"/>
        <v>20</v>
      </c>
      <c r="E25" s="423">
        <v>218723.48592170756</v>
      </c>
      <c r="F25" s="427">
        <v>111.93627733966608</v>
      </c>
      <c r="G25" s="417">
        <v>63.963587051237766</v>
      </c>
      <c r="H25" s="428">
        <v>0.59225543565960903</v>
      </c>
      <c r="I25" s="433">
        <v>55.968138669833039</v>
      </c>
      <c r="J25" s="418">
        <v>31.981793525618883</v>
      </c>
      <c r="K25" s="434">
        <v>0.29612771782980452</v>
      </c>
      <c r="L25" s="404">
        <v>566397.56333871034</v>
      </c>
      <c r="M25" s="383">
        <v>13333707.215396468</v>
      </c>
      <c r="N25" s="402">
        <v>5237635.951596369</v>
      </c>
      <c r="O25" s="22"/>
      <c r="P25" s="22"/>
    </row>
    <row r="26" spans="2:16" x14ac:dyDescent="0.25">
      <c r="B26" s="393">
        <f t="shared" si="2"/>
        <v>2041</v>
      </c>
      <c r="C26" s="387">
        <f t="shared" si="2"/>
        <v>16</v>
      </c>
      <c r="D26" s="396">
        <f t="shared" si="1"/>
        <v>21</v>
      </c>
      <c r="E26" s="423">
        <v>219817.10335131604</v>
      </c>
      <c r="F26" s="427">
        <v>112.49595872636441</v>
      </c>
      <c r="G26" s="417">
        <v>64.283404986493949</v>
      </c>
      <c r="H26" s="428">
        <v>0.59521671283790678</v>
      </c>
      <c r="I26" s="433">
        <v>56.247979363182203</v>
      </c>
      <c r="J26" s="418">
        <v>32.141702493246974</v>
      </c>
      <c r="K26" s="434">
        <v>0.29760835641895339</v>
      </c>
      <c r="L26" s="404">
        <v>569229.55115540395</v>
      </c>
      <c r="M26" s="383">
        <v>13400375.751473447</v>
      </c>
      <c r="N26" s="402">
        <v>5263824.1313543478</v>
      </c>
      <c r="O26" s="22"/>
      <c r="P26" s="22"/>
    </row>
    <row r="27" spans="2:16" x14ac:dyDescent="0.25">
      <c r="B27" s="395">
        <f t="shared" si="2"/>
        <v>2042</v>
      </c>
      <c r="C27" s="387">
        <f t="shared" si="2"/>
        <v>17</v>
      </c>
      <c r="D27" s="396">
        <f t="shared" si="1"/>
        <v>22</v>
      </c>
      <c r="E27" s="423">
        <v>220916.18886807258</v>
      </c>
      <c r="F27" s="427">
        <v>113.0584385199962</v>
      </c>
      <c r="G27" s="417">
        <v>64.604822011426407</v>
      </c>
      <c r="H27" s="428">
        <v>0.59819279640209633</v>
      </c>
      <c r="I27" s="433">
        <v>56.529219259998101</v>
      </c>
      <c r="J27" s="418">
        <v>32.302411005713203</v>
      </c>
      <c r="K27" s="434">
        <v>0.29909639820104816</v>
      </c>
      <c r="L27" s="404">
        <v>572075.69891118084</v>
      </c>
      <c r="M27" s="383">
        <v>13467377.630230812</v>
      </c>
      <c r="N27" s="402">
        <v>5290143.2520111203</v>
      </c>
      <c r="O27" s="22"/>
      <c r="P27" s="22"/>
    </row>
    <row r="28" spans="2:16" x14ac:dyDescent="0.25">
      <c r="B28" s="393">
        <f t="shared" si="2"/>
        <v>2043</v>
      </c>
      <c r="C28" s="387">
        <f t="shared" si="2"/>
        <v>18</v>
      </c>
      <c r="D28" s="396">
        <f t="shared" si="1"/>
        <v>23</v>
      </c>
      <c r="E28" s="423">
        <v>222020.76981241294</v>
      </c>
      <c r="F28" s="427">
        <v>113.6237307125962</v>
      </c>
      <c r="G28" s="417">
        <v>64.92784612148354</v>
      </c>
      <c r="H28" s="428">
        <v>0.60118376038410692</v>
      </c>
      <c r="I28" s="433">
        <v>56.8118653562981</v>
      </c>
      <c r="J28" s="418">
        <v>32.46392306074177</v>
      </c>
      <c r="K28" s="434">
        <v>0.30059188019205346</v>
      </c>
      <c r="L28" s="404">
        <v>574936.07740573678</v>
      </c>
      <c r="M28" s="383">
        <v>13534714.518381966</v>
      </c>
      <c r="N28" s="402">
        <v>5316593.9682711773</v>
      </c>
      <c r="O28" s="22"/>
      <c r="P28" s="22"/>
    </row>
    <row r="29" spans="2:16" x14ac:dyDescent="0.25">
      <c r="B29" s="395">
        <f t="shared" si="2"/>
        <v>2044</v>
      </c>
      <c r="C29" s="387">
        <f t="shared" si="2"/>
        <v>19</v>
      </c>
      <c r="D29" s="396">
        <f t="shared" si="1"/>
        <v>24</v>
      </c>
      <c r="E29" s="423">
        <v>223130.87366147494</v>
      </c>
      <c r="F29" s="427">
        <v>114.1918493661591</v>
      </c>
      <c r="G29" s="417">
        <v>65.252485352090929</v>
      </c>
      <c r="H29" s="428">
        <v>0.60418967918602728</v>
      </c>
      <c r="I29" s="433">
        <v>57.095924683079552</v>
      </c>
      <c r="J29" s="418">
        <v>32.626242676045464</v>
      </c>
      <c r="K29" s="434">
        <v>0.30209483959301364</v>
      </c>
      <c r="L29" s="404">
        <v>577810.75779276504</v>
      </c>
      <c r="M29" s="383">
        <v>13602388.090973871</v>
      </c>
      <c r="N29" s="402">
        <v>5343176.9381125309</v>
      </c>
      <c r="O29" s="22"/>
      <c r="P29" s="22"/>
    </row>
    <row r="30" spans="2:16" x14ac:dyDescent="0.25">
      <c r="B30" s="393">
        <f t="shared" si="2"/>
        <v>2045</v>
      </c>
      <c r="C30" s="387">
        <f t="shared" si="2"/>
        <v>20</v>
      </c>
      <c r="D30" s="396">
        <f t="shared" si="1"/>
        <v>25</v>
      </c>
      <c r="E30" s="423">
        <v>224246.52802978229</v>
      </c>
      <c r="F30" s="427">
        <v>114.76280861298991</v>
      </c>
      <c r="G30" s="417">
        <v>65.578747778851394</v>
      </c>
      <c r="H30" s="428">
        <v>0.60721062758195721</v>
      </c>
      <c r="I30" s="433">
        <v>57.381404306494957</v>
      </c>
      <c r="J30" s="418">
        <v>32.789373889425697</v>
      </c>
      <c r="K30" s="434">
        <v>0.3036053137909786</v>
      </c>
      <c r="L30" s="404">
        <v>580699.81158172898</v>
      </c>
      <c r="M30" s="383">
        <v>13670400.031428741</v>
      </c>
      <c r="N30" s="402">
        <v>5369892.8228030922</v>
      </c>
      <c r="O30" s="22"/>
      <c r="P30" s="22"/>
    </row>
    <row r="31" spans="2:16" x14ac:dyDescent="0.25">
      <c r="B31" s="521">
        <f t="shared" si="2"/>
        <v>2046</v>
      </c>
      <c r="C31" s="522">
        <f t="shared" si="2"/>
        <v>21</v>
      </c>
      <c r="D31" s="523">
        <f t="shared" si="1"/>
        <v>26</v>
      </c>
      <c r="E31" s="423">
        <v>225367.76066993119</v>
      </c>
      <c r="F31" s="433">
        <v>115.33662265605484</v>
      </c>
      <c r="G31" s="418">
        <v>65.906641517745641</v>
      </c>
      <c r="H31" s="159">
        <v>0.61024668071986699</v>
      </c>
      <c r="I31" s="433">
        <v>57.668311328027421</v>
      </c>
      <c r="J31" s="418">
        <v>32.95332075887282</v>
      </c>
      <c r="K31" s="434">
        <v>0.30512334035993349</v>
      </c>
      <c r="L31" s="404">
        <v>583603.31063963752</v>
      </c>
      <c r="M31" s="383">
        <v>13738752.031585883</v>
      </c>
      <c r="N31" s="87">
        <v>5396742.2869171072</v>
      </c>
      <c r="O31" s="22"/>
      <c r="P31" s="22"/>
    </row>
    <row r="32" spans="2:16" x14ac:dyDescent="0.25">
      <c r="B32" s="393">
        <f t="shared" si="2"/>
        <v>2047</v>
      </c>
      <c r="C32" s="387">
        <f t="shared" si="2"/>
        <v>22</v>
      </c>
      <c r="D32" s="396">
        <f t="shared" si="1"/>
        <v>27</v>
      </c>
      <c r="E32" s="423">
        <v>226494.59947328077</v>
      </c>
      <c r="F32" s="427">
        <v>115.91330576933511</v>
      </c>
      <c r="G32" s="417">
        <v>66.236174725334337</v>
      </c>
      <c r="H32" s="428">
        <v>0.61329791412346624</v>
      </c>
      <c r="I32" s="433">
        <v>57.956652884667555</v>
      </c>
      <c r="J32" s="418">
        <v>33.118087362667168</v>
      </c>
      <c r="K32" s="434">
        <v>0.30664895706173312</v>
      </c>
      <c r="L32" s="404">
        <v>586521.32719283563</v>
      </c>
      <c r="M32" s="383">
        <v>13807445.791743806</v>
      </c>
      <c r="N32" s="402">
        <v>5423725.9983516922</v>
      </c>
      <c r="O32" s="22"/>
      <c r="P32" s="22"/>
    </row>
    <row r="33" spans="2:16" x14ac:dyDescent="0.25">
      <c r="B33" s="395">
        <f t="shared" si="2"/>
        <v>2048</v>
      </c>
      <c r="C33" s="387">
        <f t="shared" si="2"/>
        <v>23</v>
      </c>
      <c r="D33" s="396">
        <f t="shared" si="1"/>
        <v>28</v>
      </c>
      <c r="E33" s="423">
        <v>227627.07247064714</v>
      </c>
      <c r="F33" s="427">
        <v>116.49287229818172</v>
      </c>
      <c r="G33" s="417">
        <v>66.567355598961001</v>
      </c>
      <c r="H33" s="428">
        <v>0.6163644036940833</v>
      </c>
      <c r="I33" s="433">
        <v>58.246436149090862</v>
      </c>
      <c r="J33" s="418">
        <v>33.2836777994805</v>
      </c>
      <c r="K33" s="434">
        <v>0.30818220184704165</v>
      </c>
      <c r="L33" s="404">
        <v>589453.93382879964</v>
      </c>
      <c r="M33" s="383">
        <v>13876483.020702524</v>
      </c>
      <c r="N33" s="402">
        <v>5450844.628343448</v>
      </c>
      <c r="O33" s="22"/>
      <c r="P33" s="22"/>
    </row>
    <row r="34" spans="2:16" x14ac:dyDescent="0.25">
      <c r="B34" s="393">
        <f t="shared" si="2"/>
        <v>2049</v>
      </c>
      <c r="C34" s="387">
        <f t="shared" si="2"/>
        <v>24</v>
      </c>
      <c r="D34" s="396">
        <f t="shared" si="1"/>
        <v>29</v>
      </c>
      <c r="E34" s="423">
        <v>228765.20783300034</v>
      </c>
      <c r="F34" s="427">
        <v>117.07533665967262</v>
      </c>
      <c r="G34" s="417">
        <v>66.9001923769558</v>
      </c>
      <c r="H34" s="428">
        <v>0.6194462257125537</v>
      </c>
      <c r="I34" s="433">
        <v>58.537668329836308</v>
      </c>
      <c r="J34" s="418">
        <v>33.4500961884779</v>
      </c>
      <c r="K34" s="434">
        <v>0.30972311285627685</v>
      </c>
      <c r="L34" s="404">
        <v>592401.20349794358</v>
      </c>
      <c r="M34" s="383">
        <v>13945865.435806034</v>
      </c>
      <c r="N34" s="402">
        <v>5478098.8514851648</v>
      </c>
      <c r="O34" s="22"/>
      <c r="P34" s="22"/>
    </row>
    <row r="35" spans="2:16" x14ac:dyDescent="0.25">
      <c r="B35" s="395">
        <f t="shared" si="2"/>
        <v>2050</v>
      </c>
      <c r="C35" s="387">
        <f t="shared" si="2"/>
        <v>25</v>
      </c>
      <c r="D35" s="396">
        <f t="shared" si="1"/>
        <v>30</v>
      </c>
      <c r="E35" s="423">
        <v>229909.03387216534</v>
      </c>
      <c r="F35" s="427">
        <v>117.66071334297098</v>
      </c>
      <c r="G35" s="417">
        <v>67.234693338840572</v>
      </c>
      <c r="H35" s="428">
        <v>0.62254345684111645</v>
      </c>
      <c r="I35" s="433">
        <v>58.83035667148549</v>
      </c>
      <c r="J35" s="418">
        <v>33.617346669420286</v>
      </c>
      <c r="K35" s="434">
        <v>0.31127172842055822</v>
      </c>
      <c r="L35" s="404">
        <v>595363.20951543318</v>
      </c>
      <c r="M35" s="383">
        <v>14015594.762985064</v>
      </c>
      <c r="N35" s="402">
        <v>5505489.3457425907</v>
      </c>
      <c r="O35" s="22"/>
      <c r="P35" s="22"/>
    </row>
    <row r="36" spans="2:16" x14ac:dyDescent="0.25">
      <c r="B36" s="393">
        <f t="shared" si="2"/>
        <v>2051</v>
      </c>
      <c r="C36" s="387">
        <f t="shared" si="2"/>
        <v>26</v>
      </c>
      <c r="D36" s="396">
        <f t="shared" si="1"/>
        <v>31</v>
      </c>
      <c r="E36" s="423">
        <v>231058.57904152613</v>
      </c>
      <c r="F36" s="427">
        <v>118.24901690968585</v>
      </c>
      <c r="G36" s="417">
        <v>67.570866805534763</v>
      </c>
      <c r="H36" s="428">
        <v>0.62565617412532204</v>
      </c>
      <c r="I36" s="433">
        <v>59.124508454842925</v>
      </c>
      <c r="J36" s="418">
        <v>33.785433402767381</v>
      </c>
      <c r="K36" s="434">
        <v>0.31282808706266102</v>
      </c>
      <c r="L36" s="404">
        <v>598340.02556301048</v>
      </c>
      <c r="M36" s="383">
        <v>14085672.736799987</v>
      </c>
      <c r="N36" s="402">
        <v>5533016.7924713036</v>
      </c>
      <c r="O36" s="22"/>
      <c r="P36" s="22"/>
    </row>
    <row r="37" spans="2:16" x14ac:dyDescent="0.25">
      <c r="B37" s="395">
        <f t="shared" si="2"/>
        <v>2052</v>
      </c>
      <c r="C37" s="387">
        <f t="shared" si="2"/>
        <v>27</v>
      </c>
      <c r="D37" s="396">
        <f t="shared" si="1"/>
        <v>32</v>
      </c>
      <c r="E37" s="423">
        <v>232213.87193673375</v>
      </c>
      <c r="F37" s="427">
        <v>118.84026199423424</v>
      </c>
      <c r="G37" s="417">
        <v>67.908721139562431</v>
      </c>
      <c r="H37" s="428">
        <v>0.62878445499594859</v>
      </c>
      <c r="I37" s="433">
        <v>59.42013099711712</v>
      </c>
      <c r="J37" s="418">
        <v>33.954360569781215</v>
      </c>
      <c r="K37" s="434">
        <v>0.3143922274979743</v>
      </c>
      <c r="L37" s="404">
        <v>601331.72569082538</v>
      </c>
      <c r="M37" s="383">
        <v>14156101.100483986</v>
      </c>
      <c r="N37" s="402">
        <v>5560681.8764336603</v>
      </c>
      <c r="O37" s="22"/>
      <c r="P37" s="22"/>
    </row>
    <row r="38" spans="2:16" x14ac:dyDescent="0.25">
      <c r="B38" s="393">
        <f t="shared" si="2"/>
        <v>2053</v>
      </c>
      <c r="C38" s="387">
        <f t="shared" si="2"/>
        <v>28</v>
      </c>
      <c r="D38" s="396">
        <f t="shared" si="1"/>
        <v>33</v>
      </c>
      <c r="E38" s="423">
        <v>233374.94129641738</v>
      </c>
      <c r="F38" s="427">
        <v>119.43446330420541</v>
      </c>
      <c r="G38" s="417">
        <v>68.248264745260244</v>
      </c>
      <c r="H38" s="428">
        <v>0.63192837727092821</v>
      </c>
      <c r="I38" s="433">
        <v>59.717231652102704</v>
      </c>
      <c r="J38" s="418">
        <v>34.124132372630122</v>
      </c>
      <c r="K38" s="434">
        <v>0.3159641886354641</v>
      </c>
      <c r="L38" s="404">
        <v>604338.38431927946</v>
      </c>
      <c r="M38" s="383">
        <v>14226881.605986405</v>
      </c>
      <c r="N38" s="402">
        <v>5588485.2858158275</v>
      </c>
      <c r="O38" s="22"/>
      <c r="P38" s="22"/>
    </row>
    <row r="39" spans="2:16" x14ac:dyDescent="0.25">
      <c r="B39" s="395">
        <f t="shared" si="2"/>
        <v>2054</v>
      </c>
      <c r="C39" s="387">
        <f t="shared" si="2"/>
        <v>29</v>
      </c>
      <c r="D39" s="396">
        <f t="shared" si="1"/>
        <v>34</v>
      </c>
      <c r="E39" s="423">
        <v>234541.8160028994</v>
      </c>
      <c r="F39" s="427">
        <v>120.03163562072639</v>
      </c>
      <c r="G39" s="417">
        <v>68.589506068986523</v>
      </c>
      <c r="H39" s="428">
        <v>0.63508801915728263</v>
      </c>
      <c r="I39" s="433">
        <v>60.015817810363195</v>
      </c>
      <c r="J39" s="418">
        <v>34.294753034493262</v>
      </c>
      <c r="K39" s="434">
        <v>0.31754400957864132</v>
      </c>
      <c r="L39" s="404">
        <v>607360.07624087553</v>
      </c>
      <c r="M39" s="383">
        <v>14298016.014016334</v>
      </c>
      <c r="N39" s="402">
        <v>5616427.7122449046</v>
      </c>
      <c r="O39" s="22"/>
      <c r="P39" s="22"/>
    </row>
    <row r="40" spans="2:16" x14ac:dyDescent="0.25">
      <c r="B40" s="393">
        <f t="shared" si="2"/>
        <v>2055</v>
      </c>
      <c r="C40" s="387">
        <f t="shared" si="2"/>
        <v>30</v>
      </c>
      <c r="D40" s="396">
        <f t="shared" si="1"/>
        <v>35</v>
      </c>
      <c r="E40" s="423">
        <v>235714.52508291387</v>
      </c>
      <c r="F40" s="427">
        <v>120.63179379883002</v>
      </c>
      <c r="G40" s="417">
        <v>68.932453599331438</v>
      </c>
      <c r="H40" s="428">
        <v>0.63826345925306904</v>
      </c>
      <c r="I40" s="433">
        <v>60.315896899415009</v>
      </c>
      <c r="J40" s="418">
        <v>34.466226799665719</v>
      </c>
      <c r="K40" s="434">
        <v>0.31913172962653452</v>
      </c>
      <c r="L40" s="404">
        <v>610396.87662207999</v>
      </c>
      <c r="M40" s="383">
        <v>14369506.094086412</v>
      </c>
      <c r="N40" s="402">
        <v>5644509.8508061292</v>
      </c>
      <c r="O40" s="22"/>
      <c r="P40" s="22"/>
    </row>
    <row r="41" spans="2:16" s="378" customFormat="1" x14ac:dyDescent="0.25">
      <c r="B41" s="343">
        <f t="shared" si="2"/>
        <v>2056</v>
      </c>
      <c r="C41" s="342">
        <f t="shared" si="2"/>
        <v>31</v>
      </c>
      <c r="D41" s="377">
        <f t="shared" si="1"/>
        <v>36</v>
      </c>
      <c r="E41" s="423">
        <v>236893.09770832839</v>
      </c>
      <c r="F41" s="427">
        <v>121.23495276782414</v>
      </c>
      <c r="G41" s="417">
        <v>69.277115867328078</v>
      </c>
      <c r="H41" s="428">
        <v>0.64145477654933414</v>
      </c>
      <c r="I41" s="433">
        <v>60.61747638391207</v>
      </c>
      <c r="J41" s="418">
        <v>34.638557933664039</v>
      </c>
      <c r="K41" s="434">
        <v>0.32072738827466707</v>
      </c>
      <c r="L41" s="404">
        <v>613448.86100519018</v>
      </c>
      <c r="M41" s="383">
        <v>14441353.624556839</v>
      </c>
      <c r="N41" s="402">
        <v>5672732.4000601573</v>
      </c>
      <c r="O41" s="379"/>
      <c r="P41" s="379"/>
    </row>
    <row r="42" spans="2:16" s="378" customFormat="1" ht="15.75" thickBot="1" x14ac:dyDescent="0.3">
      <c r="B42" s="460">
        <f t="shared" si="2"/>
        <v>2057</v>
      </c>
      <c r="C42" s="398">
        <f t="shared" si="2"/>
        <v>32</v>
      </c>
      <c r="D42" s="399">
        <f t="shared" si="1"/>
        <v>37</v>
      </c>
      <c r="E42" s="424">
        <v>238077.56319686997</v>
      </c>
      <c r="F42" s="429">
        <v>121.84112753166323</v>
      </c>
      <c r="G42" s="419">
        <v>69.623501446664704</v>
      </c>
      <c r="H42" s="430">
        <v>0.6446620504320808</v>
      </c>
      <c r="I42" s="435">
        <v>60.920563765831616</v>
      </c>
      <c r="J42" s="420">
        <v>34.811750723332352</v>
      </c>
      <c r="K42" s="436">
        <v>0.3223310252160404</v>
      </c>
      <c r="L42" s="413">
        <v>616516.10531021608</v>
      </c>
      <c r="M42" s="409">
        <v>14513560.392679619</v>
      </c>
      <c r="N42" s="403">
        <v>5701096.0620604577</v>
      </c>
      <c r="O42" s="379"/>
      <c r="P42" s="379"/>
    </row>
    <row r="43" spans="2:16" ht="15.75" thickBot="1" x14ac:dyDescent="0.3">
      <c r="F43" s="306">
        <v>3922.7418913935408</v>
      </c>
      <c r="G43" s="306">
        <v>2241.566795082023</v>
      </c>
      <c r="H43" s="306">
        <v>20.755248102611322</v>
      </c>
      <c r="I43" s="306">
        <v>1806.3434499925993</v>
      </c>
      <c r="J43" s="306">
        <v>1032.1962571386282</v>
      </c>
      <c r="K43" s="306">
        <v>9.5573727512835944</v>
      </c>
      <c r="L43" s="441">
        <v>18280195.713925105</v>
      </c>
      <c r="M43" s="441">
        <v>430338675.98731637</v>
      </c>
      <c r="N43" s="441">
        <v>169042058.91898522</v>
      </c>
      <c r="O43" s="25"/>
      <c r="P43" s="25"/>
    </row>
    <row r="44" spans="2:16" x14ac:dyDescent="0.25">
      <c r="F44" s="306"/>
      <c r="G44" s="306"/>
      <c r="H44" s="306"/>
      <c r="I44" s="306">
        <v>2116.3984414009415</v>
      </c>
      <c r="J44" s="306">
        <v>1209.3705379433948</v>
      </c>
      <c r="K44" s="306">
        <v>11.197875351327728</v>
      </c>
      <c r="L44" s="61"/>
      <c r="M44" s="61"/>
      <c r="N44" s="61"/>
      <c r="O44" s="25"/>
      <c r="P44" s="25"/>
    </row>
    <row r="45" spans="2:16" ht="15.75" hidden="1" thickBot="1" x14ac:dyDescent="0.3">
      <c r="B45" s="18" t="s">
        <v>139</v>
      </c>
      <c r="F45" s="17"/>
      <c r="G45" s="17"/>
      <c r="H45" s="17"/>
      <c r="I45" s="155"/>
      <c r="J45" s="17"/>
      <c r="K45" s="17"/>
      <c r="O45" s="19"/>
      <c r="P45" s="19"/>
    </row>
    <row r="46" spans="2:16" ht="15" hidden="1" customHeight="1" x14ac:dyDescent="0.25">
      <c r="B46" s="574" t="s">
        <v>1</v>
      </c>
      <c r="C46" s="576" t="s">
        <v>2</v>
      </c>
      <c r="D46" s="588" t="s">
        <v>22</v>
      </c>
      <c r="E46" s="578" t="s">
        <v>47</v>
      </c>
      <c r="F46" s="580" t="s">
        <v>48</v>
      </c>
      <c r="G46" s="573"/>
      <c r="H46" s="567"/>
      <c r="I46" s="580" t="s">
        <v>50</v>
      </c>
      <c r="J46" s="573"/>
      <c r="K46" s="567"/>
      <c r="L46" s="566" t="s">
        <v>136</v>
      </c>
      <c r="M46" s="573"/>
      <c r="N46" s="567"/>
      <c r="O46" s="24"/>
      <c r="P46" s="24"/>
    </row>
    <row r="47" spans="2:16" ht="15.75" hidden="1" thickBot="1" x14ac:dyDescent="0.3">
      <c r="B47" s="575"/>
      <c r="C47" s="577"/>
      <c r="D47" s="589"/>
      <c r="E47" s="579"/>
      <c r="F47" s="27" t="s">
        <v>35</v>
      </c>
      <c r="G47" s="47" t="s">
        <v>36</v>
      </c>
      <c r="H47" s="48" t="s">
        <v>37</v>
      </c>
      <c r="I47" s="27" t="s">
        <v>35</v>
      </c>
      <c r="J47" s="47" t="s">
        <v>36</v>
      </c>
      <c r="K47" s="48" t="s">
        <v>37</v>
      </c>
      <c r="L47" s="103" t="s">
        <v>35</v>
      </c>
      <c r="M47" s="47" t="s">
        <v>36</v>
      </c>
      <c r="N47" s="48" t="s">
        <v>37</v>
      </c>
      <c r="O47" s="7"/>
      <c r="P47" s="7"/>
    </row>
    <row r="48" spans="2:16" hidden="1" x14ac:dyDescent="0.25">
      <c r="B48" s="101">
        <v>2021</v>
      </c>
      <c r="C48" s="102">
        <v>0</v>
      </c>
      <c r="D48" s="138">
        <v>1</v>
      </c>
      <c r="E48" s="163">
        <f t="shared" ref="E48:E53" si="3">$E$54*(1+0.005)^(B48-$B$54)</f>
        <v>0</v>
      </c>
      <c r="F48" s="167" t="e">
        <f>ROUND((('Collision Data-Storm '!B$7*$E48*365*'Collision Data-Storm '!$B$60)/1000000),1)</f>
        <v>#DIV/0!</v>
      </c>
      <c r="G48" s="168" t="e">
        <f>ROUND((('Collision Data-Storm '!C$7*$E48*365*'Collision Data-Storm '!$B$60)/1000000),1)</f>
        <v>#DIV/0!</v>
      </c>
      <c r="H48" s="169" t="e">
        <f>ROUND((('Collision Data-Storm '!D$7*$E48*365*'Collision Data-Storm '!$B$60)/1000000),1)</f>
        <v>#DIV/0!</v>
      </c>
      <c r="I48" s="171" t="e">
        <f>ROUND((F48*0.3*0.59)/2,0)</f>
        <v>#DIV/0!</v>
      </c>
      <c r="J48" s="168">
        <v>0</v>
      </c>
      <c r="K48" s="169" t="e">
        <f t="shared" ref="K48:K53" si="4">ROUND(H48*0.3*0.59,0)</f>
        <v>#DIV/0!</v>
      </c>
      <c r="L48" s="148" t="e">
        <f>I48*'Parameters-Storm'!$D$28*'Collision Data-Storm '!$E$9</f>
        <v>#DIV/0!</v>
      </c>
      <c r="M48" s="147">
        <f>J48*'Parameters-Storm'!$D$23*'Collision Data-Storm '!$E$10</f>
        <v>0</v>
      </c>
      <c r="N48" s="170" t="e">
        <f>K48*'Parameters-Storm'!$D$24*'Collision Data-Storm '!$E$10</f>
        <v>#DIV/0!</v>
      </c>
      <c r="O48" s="6"/>
      <c r="P48" s="6"/>
    </row>
    <row r="49" spans="2:16" hidden="1" x14ac:dyDescent="0.25">
      <c r="B49" s="95">
        <v>2022</v>
      </c>
      <c r="C49" s="91">
        <v>0</v>
      </c>
      <c r="D49" s="139">
        <v>2</v>
      </c>
      <c r="E49" s="128">
        <f t="shared" si="3"/>
        <v>0</v>
      </c>
      <c r="F49" s="135" t="e">
        <f>ROUND((('Collision Data-Storm '!B$7*$E49*365*'Collision Data-Storm '!$B$60)/1000000),1)</f>
        <v>#DIV/0!</v>
      </c>
      <c r="G49" s="124" t="e">
        <f>ROUND((('Collision Data-Storm '!C$7*$E49*365*'Collision Data-Storm '!$B$60)/1000000),1)</f>
        <v>#DIV/0!</v>
      </c>
      <c r="H49" s="123" t="e">
        <f>ROUND((('Collision Data-Storm '!D$7*$E49*365*'Collision Data-Storm '!$B$60)/1000000),1)</f>
        <v>#DIV/0!</v>
      </c>
      <c r="I49" s="132" t="e">
        <f t="shared" ref="I49:I50" si="5">ROUND((F49*0.3*0.59)/2,0)</f>
        <v>#DIV/0!</v>
      </c>
      <c r="J49" s="124">
        <v>0</v>
      </c>
      <c r="K49" s="123" t="e">
        <f t="shared" si="4"/>
        <v>#DIV/0!</v>
      </c>
      <c r="L49" s="149" t="e">
        <f>I49*'Parameters-Storm'!$D$28*'Collision Data-Storm '!$E$9</f>
        <v>#DIV/0!</v>
      </c>
      <c r="M49" s="144">
        <f>J49*'Parameters-Storm'!$D$23*'Collision Data-Storm '!$E$10</f>
        <v>0</v>
      </c>
      <c r="N49" s="161" t="e">
        <f>K49*'Parameters-Storm'!$D$24*'Collision Data-Storm '!$E$10</f>
        <v>#DIV/0!</v>
      </c>
      <c r="O49" s="6"/>
      <c r="P49" s="6"/>
    </row>
    <row r="50" spans="2:16" hidden="1" x14ac:dyDescent="0.25">
      <c r="B50" s="95">
        <v>2023</v>
      </c>
      <c r="C50" s="91">
        <v>0</v>
      </c>
      <c r="D50" s="139">
        <v>3</v>
      </c>
      <c r="E50" s="128">
        <f t="shared" si="3"/>
        <v>0</v>
      </c>
      <c r="F50" s="135" t="e">
        <f>ROUND((('Collision Data-Storm '!B$7*$E50*365*'Collision Data-Storm '!$B$60)/1000000),1)</f>
        <v>#DIV/0!</v>
      </c>
      <c r="G50" s="124" t="e">
        <f>ROUND((('Collision Data-Storm '!C$7*$E50*365*'Collision Data-Storm '!$B$60)/1000000),1)</f>
        <v>#DIV/0!</v>
      </c>
      <c r="H50" s="123" t="e">
        <f>ROUND((('Collision Data-Storm '!D$7*$E50*365*'Collision Data-Storm '!$B$60)/1000000),1)</f>
        <v>#DIV/0!</v>
      </c>
      <c r="I50" s="132" t="e">
        <f t="shared" si="5"/>
        <v>#DIV/0!</v>
      </c>
      <c r="J50" s="124">
        <v>0</v>
      </c>
      <c r="K50" s="123" t="e">
        <f t="shared" si="4"/>
        <v>#DIV/0!</v>
      </c>
      <c r="L50" s="149" t="e">
        <f>I50*'Parameters-Storm'!$D$28*'Collision Data-Storm '!$E$9</f>
        <v>#DIV/0!</v>
      </c>
      <c r="M50" s="144">
        <f>J50*'Parameters-Storm'!$D$23*'Collision Data-Storm '!$E$10</f>
        <v>0</v>
      </c>
      <c r="N50" s="161" t="e">
        <f>K50*'Parameters-Storm'!$D$24*'Collision Data-Storm '!$E$10</f>
        <v>#DIV/0!</v>
      </c>
      <c r="O50" s="6"/>
      <c r="P50" s="6"/>
    </row>
    <row r="51" spans="2:16" hidden="1" x14ac:dyDescent="0.25">
      <c r="B51" s="95">
        <v>2024</v>
      </c>
      <c r="C51" s="91">
        <v>0</v>
      </c>
      <c r="D51" s="139">
        <v>4</v>
      </c>
      <c r="E51" s="128">
        <f t="shared" si="3"/>
        <v>0</v>
      </c>
      <c r="F51" s="135" t="e">
        <f>ROUND((('Collision Data-Storm '!B$7*$E51*365*'Collision Data-Storm '!$B$60)/1000000),1)</f>
        <v>#DIV/0!</v>
      </c>
      <c r="G51" s="124" t="e">
        <f>ROUND((('Collision Data-Storm '!C$7*$E51*365*'Collision Data-Storm '!$B$60)/1000000),1)</f>
        <v>#DIV/0!</v>
      </c>
      <c r="H51" s="123" t="e">
        <f>ROUND((('Collision Data-Storm '!D$7*$E51*365*'Collision Data-Storm '!$B$60)/1000000),1)</f>
        <v>#DIV/0!</v>
      </c>
      <c r="I51" s="132" t="e">
        <f t="shared" ref="I51:I53" si="6">ROUND(F51*0.3*0.59,0)</f>
        <v>#DIV/0!</v>
      </c>
      <c r="J51" s="124">
        <v>0</v>
      </c>
      <c r="K51" s="123" t="e">
        <f t="shared" si="4"/>
        <v>#DIV/0!</v>
      </c>
      <c r="L51" s="149" t="e">
        <f>I51*'Parameters-Storm'!$D$28*'Collision Data-Storm '!$E$9</f>
        <v>#DIV/0!</v>
      </c>
      <c r="M51" s="144">
        <f>J51*'Parameters-Storm'!$D$23*'Collision Data-Storm '!$E$10</f>
        <v>0</v>
      </c>
      <c r="N51" s="161" t="e">
        <f>K51*'Parameters-Storm'!$D$24*'Collision Data-Storm '!$E$10</f>
        <v>#DIV/0!</v>
      </c>
      <c r="O51" s="6"/>
      <c r="P51" s="6"/>
    </row>
    <row r="52" spans="2:16" hidden="1" x14ac:dyDescent="0.25">
      <c r="B52" s="95">
        <v>2025</v>
      </c>
      <c r="C52" s="91">
        <v>0</v>
      </c>
      <c r="D52" s="139">
        <v>5</v>
      </c>
      <c r="E52" s="128">
        <f t="shared" si="3"/>
        <v>0</v>
      </c>
      <c r="F52" s="135" t="e">
        <f>ROUND((('Collision Data-Storm '!B$7*$E52*365*'Collision Data-Storm '!$B$60)/1000000),1)</f>
        <v>#DIV/0!</v>
      </c>
      <c r="G52" s="124" t="e">
        <f>ROUND((('Collision Data-Storm '!C$7*$E52*365*'Collision Data-Storm '!$B$60)/1000000),1)</f>
        <v>#DIV/0!</v>
      </c>
      <c r="H52" s="123" t="e">
        <f>ROUND((('Collision Data-Storm '!D$7*$E52*365*'Collision Data-Storm '!$B$60)/1000000),1)</f>
        <v>#DIV/0!</v>
      </c>
      <c r="I52" s="132" t="e">
        <f t="shared" si="6"/>
        <v>#DIV/0!</v>
      </c>
      <c r="J52" s="124">
        <v>0</v>
      </c>
      <c r="K52" s="123" t="e">
        <f t="shared" si="4"/>
        <v>#DIV/0!</v>
      </c>
      <c r="L52" s="149" t="e">
        <f>I52*'Parameters-Storm'!$D$28*'Collision Data-Storm '!$E$9</f>
        <v>#DIV/0!</v>
      </c>
      <c r="M52" s="144">
        <f>J52*'Parameters-Storm'!$D$23*'Collision Data-Storm '!$E$10</f>
        <v>0</v>
      </c>
      <c r="N52" s="161" t="e">
        <f>K52*'Parameters-Storm'!$D$24*'Collision Data-Storm '!$E$10</f>
        <v>#DIV/0!</v>
      </c>
      <c r="O52" s="6"/>
      <c r="P52" s="6"/>
    </row>
    <row r="53" spans="2:16" hidden="1" x14ac:dyDescent="0.25">
      <c r="B53" s="95">
        <v>2026</v>
      </c>
      <c r="C53" s="91">
        <v>0</v>
      </c>
      <c r="D53" s="139">
        <v>6</v>
      </c>
      <c r="E53" s="128">
        <f t="shared" si="3"/>
        <v>0</v>
      </c>
      <c r="F53" s="135" t="e">
        <f>ROUND((('Collision Data-Storm '!B$7*$E53*365*'Collision Data-Storm '!$B$60)/1000000),1)</f>
        <v>#DIV/0!</v>
      </c>
      <c r="G53" s="124" t="e">
        <f>ROUND((('Collision Data-Storm '!C$7*$E53*365*'Collision Data-Storm '!$B$60)/1000000),1)</f>
        <v>#DIV/0!</v>
      </c>
      <c r="H53" s="123" t="e">
        <f>ROUND((('Collision Data-Storm '!D$7*$E53*365*'Collision Data-Storm '!$B$60)/1000000),1)</f>
        <v>#DIV/0!</v>
      </c>
      <c r="I53" s="132" t="e">
        <f t="shared" si="6"/>
        <v>#DIV/0!</v>
      </c>
      <c r="J53" s="124">
        <v>0</v>
      </c>
      <c r="K53" s="123" t="e">
        <f t="shared" si="4"/>
        <v>#DIV/0!</v>
      </c>
      <c r="L53" s="149" t="e">
        <f>I53*'Parameters-Storm'!$D$28*'Collision Data-Storm '!$E$9</f>
        <v>#DIV/0!</v>
      </c>
      <c r="M53" s="144">
        <f>J53*'Parameters-Storm'!$D$23*'Collision Data-Storm '!$E$10</f>
        <v>0</v>
      </c>
      <c r="N53" s="161" t="e">
        <f>K53*'Parameters-Storm'!$D$24*'Collision Data-Storm '!$E$10</f>
        <v>#DIV/0!</v>
      </c>
      <c r="O53" s="6"/>
      <c r="P53" s="6"/>
    </row>
    <row r="54" spans="2:16" hidden="1" x14ac:dyDescent="0.25">
      <c r="B54" s="96">
        <v>2027</v>
      </c>
      <c r="C54" s="92">
        <v>1</v>
      </c>
      <c r="D54" s="140">
        <v>7</v>
      </c>
      <c r="E54" s="129">
        <f>'Collision Data-Storm '!M60</f>
        <v>0</v>
      </c>
      <c r="F54" s="172" t="e">
        <f>ROUND((('Collision Data-Storm '!B$7*$E54*365*'Collision Data-Storm '!$B$60)/1000000),1)</f>
        <v>#DIV/0!</v>
      </c>
      <c r="G54" s="69" t="e">
        <f>ROUND((('Collision Data-Storm '!C$7*$E54*365*'Collision Data-Storm '!$B$60)/1000000),1)</f>
        <v>#DIV/0!</v>
      </c>
      <c r="H54" s="71" t="e">
        <f>ROUND((('Collision Data-Storm '!D$7*$E54*365*'Collision Data-Storm '!$B$60)/1000000),1)</f>
        <v>#DIV/0!</v>
      </c>
      <c r="I54" s="173" t="e">
        <f>ROUND(F54-(F54*'Collision Data-Storm '!$B$18),1)</f>
        <v>#DIV/0!</v>
      </c>
      <c r="J54" s="69" t="e">
        <f>ROUND(G54-(G54*'Collision Data-Storm '!$B$18),1)</f>
        <v>#DIV/0!</v>
      </c>
      <c r="K54" s="71" t="e">
        <f>ROUND(H54-(H54*'Collision Data-Storm '!$B$18),2)</f>
        <v>#DIV/0!</v>
      </c>
      <c r="L54" s="150" t="e">
        <f>I54*'Parameters-Storm'!$D$28*'Collision Data-Storm '!$E$9</f>
        <v>#DIV/0!</v>
      </c>
      <c r="M54" s="145" t="e">
        <f>J54*'Parameters-Storm'!$D$23*'Collision Data-Storm '!$E$10</f>
        <v>#DIV/0!</v>
      </c>
      <c r="N54" s="162" t="e">
        <f>K54*'Parameters-Storm'!$D$24*'Collision Data-Storm '!$E$10</f>
        <v>#DIV/0!</v>
      </c>
      <c r="O54" s="6"/>
      <c r="P54" s="6"/>
    </row>
    <row r="55" spans="2:16" hidden="1" x14ac:dyDescent="0.25">
      <c r="B55" s="97">
        <v>2028</v>
      </c>
      <c r="C55" s="93">
        <v>2</v>
      </c>
      <c r="D55" s="141">
        <v>8</v>
      </c>
      <c r="E55" s="130">
        <f t="shared" ref="E55:E84" si="7">$E$54*(1+0.005)^(B55-$B$54)</f>
        <v>0</v>
      </c>
      <c r="F55" s="12" t="e">
        <f>ROUND((('Collision Data-Storm '!B$7*$E55*365*'Collision Data-Storm '!$B$60)/1000000),1)</f>
        <v>#DIV/0!</v>
      </c>
      <c r="G55" s="20" t="e">
        <f>ROUND((('Collision Data-Storm '!C$7*$E55*365*'Collision Data-Storm '!$B$60)/1000000),1)</f>
        <v>#DIV/0!</v>
      </c>
      <c r="H55" s="55" t="e">
        <f>ROUND((('Collision Data-Storm '!D$7*$E55*365*'Collision Data-Storm '!$B$60)/1000000),1)</f>
        <v>#DIV/0!</v>
      </c>
      <c r="I55" s="154" t="e">
        <f>ROUND(F55-(F55*'Collision Data-Storm '!$B$18),1)</f>
        <v>#DIV/0!</v>
      </c>
      <c r="J55" s="20" t="e">
        <f>ROUND(G55-(G55*'Collision Data-Storm '!$B$18),1)</f>
        <v>#DIV/0!</v>
      </c>
      <c r="K55" s="55" t="e">
        <f>ROUND(H55-(H55*'Collision Data-Storm '!$B$18),2)</f>
        <v>#DIV/0!</v>
      </c>
      <c r="L55" s="151" t="e">
        <f>I55*'Parameters-Storm'!$D$28*'Collision Data-Storm '!$E$9</f>
        <v>#DIV/0!</v>
      </c>
      <c r="M55" s="146" t="e">
        <f>J55*'Parameters-Storm'!$D$23*'Collision Data-Storm '!$E$10</f>
        <v>#DIV/0!</v>
      </c>
      <c r="N55" s="157" t="e">
        <f>K55*'Parameters-Storm'!$D$24*'Collision Data-Storm '!$E$10</f>
        <v>#DIV/0!</v>
      </c>
      <c r="O55" s="6"/>
      <c r="P55" s="6"/>
    </row>
    <row r="56" spans="2:16" hidden="1" x14ac:dyDescent="0.25">
      <c r="B56" s="98">
        <v>2029</v>
      </c>
      <c r="C56" s="94">
        <v>3</v>
      </c>
      <c r="D56" s="142">
        <v>9</v>
      </c>
      <c r="E56" s="130">
        <f t="shared" si="7"/>
        <v>0</v>
      </c>
      <c r="F56" s="12" t="e">
        <f>ROUND((('Collision Data-Storm '!B$7*$E56*365*'Collision Data-Storm '!$B$60)/1000000),1)</f>
        <v>#DIV/0!</v>
      </c>
      <c r="G56" s="20" t="e">
        <f>ROUND((('Collision Data-Storm '!C$7*$E56*365*'Collision Data-Storm '!$B$60)/1000000),1)</f>
        <v>#DIV/0!</v>
      </c>
      <c r="H56" s="55" t="e">
        <f>ROUND((('Collision Data-Storm '!D$7*$E56*365*'Collision Data-Storm '!$B$60)/1000000),1)</f>
        <v>#DIV/0!</v>
      </c>
      <c r="I56" s="154" t="e">
        <f>ROUND(F56-(F56*'Collision Data-Storm '!$B$18),1)</f>
        <v>#DIV/0!</v>
      </c>
      <c r="J56" s="20" t="e">
        <f>ROUND(G56-(G56*'Collision Data-Storm '!$B$18),1)</f>
        <v>#DIV/0!</v>
      </c>
      <c r="K56" s="55" t="e">
        <f>ROUND(H56-(H56*'Collision Data-Storm '!$B$18),2)</f>
        <v>#DIV/0!</v>
      </c>
      <c r="L56" s="151" t="e">
        <f>I56*'Parameters-Storm'!$D$28*'Collision Data-Storm '!$E$9</f>
        <v>#DIV/0!</v>
      </c>
      <c r="M56" s="146" t="e">
        <f>J56*'Parameters-Storm'!$D$23*'Collision Data-Storm '!$E$10</f>
        <v>#DIV/0!</v>
      </c>
      <c r="N56" s="157" t="e">
        <f>K56*'Parameters-Storm'!$D$24*'Collision Data-Storm '!$E$10</f>
        <v>#DIV/0!</v>
      </c>
      <c r="O56" s="6"/>
      <c r="P56" s="6"/>
    </row>
    <row r="57" spans="2:16" hidden="1" x14ac:dyDescent="0.25">
      <c r="B57" s="97">
        <v>2030</v>
      </c>
      <c r="C57" s="94">
        <v>4</v>
      </c>
      <c r="D57" s="142">
        <v>10</v>
      </c>
      <c r="E57" s="130">
        <f t="shared" si="7"/>
        <v>0</v>
      </c>
      <c r="F57" s="12" t="e">
        <f>ROUND((('Collision Data-Storm '!B$7*$E57*365*'Collision Data-Storm '!$B$60)/1000000),1)</f>
        <v>#DIV/0!</v>
      </c>
      <c r="G57" s="20" t="e">
        <f>ROUND((('Collision Data-Storm '!C$7*$E57*365*'Collision Data-Storm '!$B$60)/1000000),1)</f>
        <v>#DIV/0!</v>
      </c>
      <c r="H57" s="55" t="e">
        <f>ROUND((('Collision Data-Storm '!D$7*$E57*365*'Collision Data-Storm '!$B$60)/1000000),1)</f>
        <v>#DIV/0!</v>
      </c>
      <c r="I57" s="154" t="e">
        <f>ROUND(F57-(F57*'Collision Data-Storm '!$B$18),1)</f>
        <v>#DIV/0!</v>
      </c>
      <c r="J57" s="20" t="e">
        <f>ROUND(G57-(G57*'Collision Data-Storm '!$B$18),1)</f>
        <v>#DIV/0!</v>
      </c>
      <c r="K57" s="55" t="e">
        <f>ROUND(H57-(H57*'Collision Data-Storm '!$B$18),2)</f>
        <v>#DIV/0!</v>
      </c>
      <c r="L57" s="151" t="e">
        <f>I57*'Parameters-Storm'!$D$28*'Collision Data-Storm '!$E$9</f>
        <v>#DIV/0!</v>
      </c>
      <c r="M57" s="146" t="e">
        <f>J57*'Parameters-Storm'!$D$23*'Collision Data-Storm '!$E$10</f>
        <v>#DIV/0!</v>
      </c>
      <c r="N57" s="157" t="e">
        <f>K57*'Parameters-Storm'!$D$24*'Collision Data-Storm '!$E$10</f>
        <v>#DIV/0!</v>
      </c>
      <c r="O57" s="6"/>
      <c r="P57" s="6"/>
    </row>
    <row r="58" spans="2:16" hidden="1" x14ac:dyDescent="0.25">
      <c r="B58" s="98">
        <v>2031</v>
      </c>
      <c r="C58" s="94">
        <v>5</v>
      </c>
      <c r="D58" s="142">
        <v>11</v>
      </c>
      <c r="E58" s="130">
        <f t="shared" si="7"/>
        <v>0</v>
      </c>
      <c r="F58" s="12" t="e">
        <f>ROUND((('Collision Data-Storm '!B$7*$E58*365*'Collision Data-Storm '!$B$60)/1000000),1)</f>
        <v>#DIV/0!</v>
      </c>
      <c r="G58" s="20" t="e">
        <f>ROUND((('Collision Data-Storm '!C$7*$E58*365*'Collision Data-Storm '!$B$60)/1000000),1)</f>
        <v>#DIV/0!</v>
      </c>
      <c r="H58" s="55" t="e">
        <f>ROUND((('Collision Data-Storm '!D$7*$E58*365*'Collision Data-Storm '!$B$60)/1000000),1)</f>
        <v>#DIV/0!</v>
      </c>
      <c r="I58" s="154" t="e">
        <f>ROUND(F58-(F58*'Collision Data-Storm '!$B$18),1)</f>
        <v>#DIV/0!</v>
      </c>
      <c r="J58" s="20" t="e">
        <f>ROUND(G58-(G58*'Collision Data-Storm '!$B$18),1)</f>
        <v>#DIV/0!</v>
      </c>
      <c r="K58" s="55" t="e">
        <f>ROUND(H58-(H58*'Collision Data-Storm '!$B$18),2)</f>
        <v>#DIV/0!</v>
      </c>
      <c r="L58" s="151" t="e">
        <f>I58*'Parameters-Storm'!$D$28*'Collision Data-Storm '!$E$9</f>
        <v>#DIV/0!</v>
      </c>
      <c r="M58" s="146" t="e">
        <f>J58*'Parameters-Storm'!$D$23*'Collision Data-Storm '!$E$10</f>
        <v>#DIV/0!</v>
      </c>
      <c r="N58" s="157" t="e">
        <f>K58*'Parameters-Storm'!$D$24*'Collision Data-Storm '!$E$10</f>
        <v>#DIV/0!</v>
      </c>
      <c r="O58" s="6"/>
      <c r="P58" s="6"/>
    </row>
    <row r="59" spans="2:16" hidden="1" x14ac:dyDescent="0.25">
      <c r="B59" s="97">
        <v>2032</v>
      </c>
      <c r="C59" s="94">
        <v>6</v>
      </c>
      <c r="D59" s="142">
        <v>12</v>
      </c>
      <c r="E59" s="130">
        <f t="shared" si="7"/>
        <v>0</v>
      </c>
      <c r="F59" s="12" t="e">
        <f>ROUND((('Collision Data-Storm '!B$7*$E59*365*'Collision Data-Storm '!$B$60)/1000000),1)</f>
        <v>#DIV/0!</v>
      </c>
      <c r="G59" s="20" t="e">
        <f>ROUND((('Collision Data-Storm '!C$7*$E59*365*'Collision Data-Storm '!$B$60)/1000000),1)</f>
        <v>#DIV/0!</v>
      </c>
      <c r="H59" s="55" t="e">
        <f>ROUND((('Collision Data-Storm '!D$7*$E59*365*'Collision Data-Storm '!$B$60)/1000000),1)</f>
        <v>#DIV/0!</v>
      </c>
      <c r="I59" s="154" t="e">
        <f>ROUND(F59-(F59*'Collision Data-Storm '!$B$18),1)</f>
        <v>#DIV/0!</v>
      </c>
      <c r="J59" s="20" t="e">
        <f>ROUND(G59-(G59*'Collision Data-Storm '!$B$18),1)</f>
        <v>#DIV/0!</v>
      </c>
      <c r="K59" s="55" t="e">
        <f>ROUND(H59-(H59*'Collision Data-Storm '!$B$18),2)</f>
        <v>#DIV/0!</v>
      </c>
      <c r="L59" s="151" t="e">
        <f>I59*'Parameters-Storm'!$D$28*'Collision Data-Storm '!$E$9</f>
        <v>#DIV/0!</v>
      </c>
      <c r="M59" s="146" t="e">
        <f>J59*'Parameters-Storm'!$D$23*'Collision Data-Storm '!$E$10</f>
        <v>#DIV/0!</v>
      </c>
      <c r="N59" s="157" t="e">
        <f>K59*'Parameters-Storm'!$D$24*'Collision Data-Storm '!$E$10</f>
        <v>#DIV/0!</v>
      </c>
      <c r="O59" s="6"/>
      <c r="P59" s="6"/>
    </row>
    <row r="60" spans="2:16" hidden="1" x14ac:dyDescent="0.25">
      <c r="B60" s="98">
        <v>2033</v>
      </c>
      <c r="C60" s="94">
        <v>7</v>
      </c>
      <c r="D60" s="142">
        <v>13</v>
      </c>
      <c r="E60" s="130">
        <f t="shared" si="7"/>
        <v>0</v>
      </c>
      <c r="F60" s="12" t="e">
        <f>ROUND((('Collision Data-Storm '!B$7*$E60*365*'Collision Data-Storm '!$B$60)/1000000),1)</f>
        <v>#DIV/0!</v>
      </c>
      <c r="G60" s="20" t="e">
        <f>ROUND((('Collision Data-Storm '!C$7*$E60*365*'Collision Data-Storm '!$B$60)/1000000),1)</f>
        <v>#DIV/0!</v>
      </c>
      <c r="H60" s="55" t="e">
        <f>ROUND((('Collision Data-Storm '!D$7*$E60*365*'Collision Data-Storm '!$B$60)/1000000),1)</f>
        <v>#DIV/0!</v>
      </c>
      <c r="I60" s="154" t="e">
        <f>ROUND(F60-(F60*'Collision Data-Storm '!$B$18),1)</f>
        <v>#DIV/0!</v>
      </c>
      <c r="J60" s="20" t="e">
        <f>ROUND(G60-(G60*'Collision Data-Storm '!$B$18),1)</f>
        <v>#DIV/0!</v>
      </c>
      <c r="K60" s="55" t="e">
        <f>ROUND(H60-(H60*'Collision Data-Storm '!$B$18),2)</f>
        <v>#DIV/0!</v>
      </c>
      <c r="L60" s="151" t="e">
        <f>I60*'Parameters-Storm'!$D$28*'Collision Data-Storm '!$E$9</f>
        <v>#DIV/0!</v>
      </c>
      <c r="M60" s="146" t="e">
        <f>J60*'Parameters-Storm'!$D$23*'Collision Data-Storm '!$E$10</f>
        <v>#DIV/0!</v>
      </c>
      <c r="N60" s="157" t="e">
        <f>K60*'Parameters-Storm'!$D$24*'Collision Data-Storm '!$E$10</f>
        <v>#DIV/0!</v>
      </c>
      <c r="O60" s="6"/>
      <c r="P60" s="6"/>
    </row>
    <row r="61" spans="2:16" hidden="1" x14ac:dyDescent="0.25">
      <c r="B61" s="97">
        <v>2034</v>
      </c>
      <c r="C61" s="94">
        <v>8</v>
      </c>
      <c r="D61" s="142">
        <v>14</v>
      </c>
      <c r="E61" s="130">
        <f t="shared" si="7"/>
        <v>0</v>
      </c>
      <c r="F61" s="12" t="e">
        <f>ROUND((('Collision Data-Storm '!B$7*$E61*365*'Collision Data-Storm '!$B$60)/1000000),1)</f>
        <v>#DIV/0!</v>
      </c>
      <c r="G61" s="20" t="e">
        <f>ROUND((('Collision Data-Storm '!C$7*$E61*365*'Collision Data-Storm '!$B$60)/1000000),1)</f>
        <v>#DIV/0!</v>
      </c>
      <c r="H61" s="55" t="e">
        <f>ROUND((('Collision Data-Storm '!D$7*$E61*365*'Collision Data-Storm '!$B$60)/1000000),1)</f>
        <v>#DIV/0!</v>
      </c>
      <c r="I61" s="154" t="e">
        <f>ROUND(F61-(F61*'Collision Data-Storm '!$B$18),1)</f>
        <v>#DIV/0!</v>
      </c>
      <c r="J61" s="20" t="e">
        <f>ROUND(G61-(G61*'Collision Data-Storm '!$B$18),1)</f>
        <v>#DIV/0!</v>
      </c>
      <c r="K61" s="55" t="e">
        <f>ROUND(H61-(H61*'Collision Data-Storm '!$B$18),2)</f>
        <v>#DIV/0!</v>
      </c>
      <c r="L61" s="151" t="e">
        <f>I61*'Parameters-Storm'!$D$28*'Collision Data-Storm '!$E$9</f>
        <v>#DIV/0!</v>
      </c>
      <c r="M61" s="146" t="e">
        <f>J61*'Parameters-Storm'!$D$23*'Collision Data-Storm '!$E$10</f>
        <v>#DIV/0!</v>
      </c>
      <c r="N61" s="157" t="e">
        <f>K61*'Parameters-Storm'!$D$24*'Collision Data-Storm '!$E$10</f>
        <v>#DIV/0!</v>
      </c>
      <c r="O61" s="6"/>
      <c r="P61" s="6"/>
    </row>
    <row r="62" spans="2:16" hidden="1" x14ac:dyDescent="0.25">
      <c r="B62" s="98">
        <v>2035</v>
      </c>
      <c r="C62" s="94">
        <v>9</v>
      </c>
      <c r="D62" s="142">
        <v>15</v>
      </c>
      <c r="E62" s="130">
        <f t="shared" si="7"/>
        <v>0</v>
      </c>
      <c r="F62" s="12" t="e">
        <f>ROUND((('Collision Data-Storm '!B$7*$E62*365*'Collision Data-Storm '!$B$60)/1000000),1)</f>
        <v>#DIV/0!</v>
      </c>
      <c r="G62" s="20" t="e">
        <f>ROUND((('Collision Data-Storm '!C$7*$E62*365*'Collision Data-Storm '!$B$60)/1000000),1)</f>
        <v>#DIV/0!</v>
      </c>
      <c r="H62" s="55" t="e">
        <f>ROUND((('Collision Data-Storm '!D$7*$E62*365*'Collision Data-Storm '!$B$60)/1000000),1)</f>
        <v>#DIV/0!</v>
      </c>
      <c r="I62" s="154" t="e">
        <f>ROUND(F62-(F62*'Collision Data-Storm '!$B$18),1)</f>
        <v>#DIV/0!</v>
      </c>
      <c r="J62" s="20" t="e">
        <f>ROUND(G62-(G62*'Collision Data-Storm '!$B$18),1)</f>
        <v>#DIV/0!</v>
      </c>
      <c r="K62" s="55" t="e">
        <f>ROUND(H62-(H62*'Collision Data-Storm '!$B$18),2)</f>
        <v>#DIV/0!</v>
      </c>
      <c r="L62" s="151" t="e">
        <f>I62*'Parameters-Storm'!$D$28*'Collision Data-Storm '!$E$9</f>
        <v>#DIV/0!</v>
      </c>
      <c r="M62" s="146" t="e">
        <f>J62*'Parameters-Storm'!$D$23*'Collision Data-Storm '!$E$10</f>
        <v>#DIV/0!</v>
      </c>
      <c r="N62" s="157" t="e">
        <f>K62*'Parameters-Storm'!$D$24*'Collision Data-Storm '!$E$10</f>
        <v>#DIV/0!</v>
      </c>
      <c r="O62" s="6"/>
      <c r="P62" s="6"/>
    </row>
    <row r="63" spans="2:16" hidden="1" x14ac:dyDescent="0.25">
      <c r="B63" s="97">
        <v>2036</v>
      </c>
      <c r="C63" s="94">
        <v>10</v>
      </c>
      <c r="D63" s="142">
        <v>16</v>
      </c>
      <c r="E63" s="130">
        <f t="shared" si="7"/>
        <v>0</v>
      </c>
      <c r="F63" s="12" t="e">
        <f>ROUND((('Collision Data-Storm '!B$7*$E63*365*'Collision Data-Storm '!$B$60)/1000000),1)</f>
        <v>#DIV/0!</v>
      </c>
      <c r="G63" s="20" t="e">
        <f>ROUND((('Collision Data-Storm '!C$7*$E63*365*'Collision Data-Storm '!$B$60)/1000000),1)</f>
        <v>#DIV/0!</v>
      </c>
      <c r="H63" s="55" t="e">
        <f>ROUND((('Collision Data-Storm '!D$7*$E63*365*'Collision Data-Storm '!$B$60)/1000000),1)</f>
        <v>#DIV/0!</v>
      </c>
      <c r="I63" s="154" t="e">
        <f>ROUND(F63-(F63*'Collision Data-Storm '!$B$18),1)</f>
        <v>#DIV/0!</v>
      </c>
      <c r="J63" s="20" t="e">
        <f>ROUND(G63-(G63*'Collision Data-Storm '!$B$18),1)</f>
        <v>#DIV/0!</v>
      </c>
      <c r="K63" s="55" t="e">
        <f>ROUND(H63-(H63*'Collision Data-Storm '!$B$18),2)</f>
        <v>#DIV/0!</v>
      </c>
      <c r="L63" s="151" t="e">
        <f>I63*'Parameters-Storm'!$D$28*'Collision Data-Storm '!$E$9</f>
        <v>#DIV/0!</v>
      </c>
      <c r="M63" s="146" t="e">
        <f>J63*'Parameters-Storm'!$D$23*'Collision Data-Storm '!$E$10</f>
        <v>#DIV/0!</v>
      </c>
      <c r="N63" s="157" t="e">
        <f>K63*'Parameters-Storm'!$D$24*'Collision Data-Storm '!$E$10</f>
        <v>#DIV/0!</v>
      </c>
      <c r="O63" s="6"/>
      <c r="P63" s="6"/>
    </row>
    <row r="64" spans="2:16" hidden="1" x14ac:dyDescent="0.25">
      <c r="B64" s="98">
        <v>2037</v>
      </c>
      <c r="C64" s="94">
        <v>11</v>
      </c>
      <c r="D64" s="142">
        <v>17</v>
      </c>
      <c r="E64" s="130">
        <f t="shared" si="7"/>
        <v>0</v>
      </c>
      <c r="F64" s="12" t="e">
        <f>ROUND((('Collision Data-Storm '!B$7*$E64*365*'Collision Data-Storm '!$B$60)/1000000),1)</f>
        <v>#DIV/0!</v>
      </c>
      <c r="G64" s="20" t="e">
        <f>ROUND((('Collision Data-Storm '!C$7*$E64*365*'Collision Data-Storm '!$B$60)/1000000),1)</f>
        <v>#DIV/0!</v>
      </c>
      <c r="H64" s="55" t="e">
        <f>ROUND((('Collision Data-Storm '!D$7*$E64*365*'Collision Data-Storm '!$B$60)/1000000),1)</f>
        <v>#DIV/0!</v>
      </c>
      <c r="I64" s="154" t="e">
        <f>ROUND(F64-(F64*'Collision Data-Storm '!$B$18),1)</f>
        <v>#DIV/0!</v>
      </c>
      <c r="J64" s="20" t="e">
        <f>ROUND(G64-(G64*'Collision Data-Storm '!$B$18),1)</f>
        <v>#DIV/0!</v>
      </c>
      <c r="K64" s="55" t="e">
        <f>ROUND(H64-(H64*'Collision Data-Storm '!$B$18),2)</f>
        <v>#DIV/0!</v>
      </c>
      <c r="L64" s="151" t="e">
        <f>I64*'Parameters-Storm'!$D$28*'Collision Data-Storm '!$E$9</f>
        <v>#DIV/0!</v>
      </c>
      <c r="M64" s="146" t="e">
        <f>J64*'Parameters-Storm'!$D$23*'Collision Data-Storm '!$E$10</f>
        <v>#DIV/0!</v>
      </c>
      <c r="N64" s="157" t="e">
        <f>K64*'Parameters-Storm'!$D$24*'Collision Data-Storm '!$E$10</f>
        <v>#DIV/0!</v>
      </c>
      <c r="O64" s="6"/>
      <c r="P64" s="6"/>
    </row>
    <row r="65" spans="2:16" hidden="1" x14ac:dyDescent="0.25">
      <c r="B65" s="97">
        <v>2038</v>
      </c>
      <c r="C65" s="94">
        <v>12</v>
      </c>
      <c r="D65" s="142">
        <v>18</v>
      </c>
      <c r="E65" s="130">
        <f t="shared" si="7"/>
        <v>0</v>
      </c>
      <c r="F65" s="12" t="e">
        <f>ROUND((('Collision Data-Storm '!B$7*$E65*365*'Collision Data-Storm '!$B$60)/1000000),1)</f>
        <v>#DIV/0!</v>
      </c>
      <c r="G65" s="20" t="e">
        <f>ROUND((('Collision Data-Storm '!C$7*$E65*365*'Collision Data-Storm '!$B$60)/1000000),1)</f>
        <v>#DIV/0!</v>
      </c>
      <c r="H65" s="55" t="e">
        <f>ROUND((('Collision Data-Storm '!D$7*$E65*365*'Collision Data-Storm '!$B$60)/1000000),1)</f>
        <v>#DIV/0!</v>
      </c>
      <c r="I65" s="154" t="e">
        <f>ROUND(F65-(F65*'Collision Data-Storm '!$B$18),1)</f>
        <v>#DIV/0!</v>
      </c>
      <c r="J65" s="20" t="e">
        <f>ROUND(G65-(G65*'Collision Data-Storm '!$B$18),1)</f>
        <v>#DIV/0!</v>
      </c>
      <c r="K65" s="55" t="e">
        <f>ROUND(H65-(H65*'Collision Data-Storm '!$B$18),2)</f>
        <v>#DIV/0!</v>
      </c>
      <c r="L65" s="151" t="e">
        <f>I65*'Parameters-Storm'!$D$28*'Collision Data-Storm '!$E$9</f>
        <v>#DIV/0!</v>
      </c>
      <c r="M65" s="146" t="e">
        <f>J65*'Parameters-Storm'!$D$23*'Collision Data-Storm '!$E$10</f>
        <v>#DIV/0!</v>
      </c>
      <c r="N65" s="157" t="e">
        <f>K65*'Parameters-Storm'!$D$24*'Collision Data-Storm '!$E$10</f>
        <v>#DIV/0!</v>
      </c>
      <c r="O65" s="6"/>
      <c r="P65" s="6"/>
    </row>
    <row r="66" spans="2:16" hidden="1" x14ac:dyDescent="0.25">
      <c r="B66" s="98">
        <v>2039</v>
      </c>
      <c r="C66" s="94">
        <v>13</v>
      </c>
      <c r="D66" s="142">
        <v>19</v>
      </c>
      <c r="E66" s="130">
        <f t="shared" si="7"/>
        <v>0</v>
      </c>
      <c r="F66" s="12" t="e">
        <f>ROUND((('Collision Data-Storm '!B$7*$E66*365*'Collision Data-Storm '!$B$60)/1000000),1)</f>
        <v>#DIV/0!</v>
      </c>
      <c r="G66" s="20" t="e">
        <f>ROUND((('Collision Data-Storm '!C$7*$E66*365*'Collision Data-Storm '!$B$60)/1000000),1)</f>
        <v>#DIV/0!</v>
      </c>
      <c r="H66" s="55" t="e">
        <f>ROUND((('Collision Data-Storm '!D$7*$E66*365*'Collision Data-Storm '!$B$60)/1000000),1)</f>
        <v>#DIV/0!</v>
      </c>
      <c r="I66" s="154" t="e">
        <f>ROUND(F66-(F66*'Collision Data-Storm '!$B$18),1)</f>
        <v>#DIV/0!</v>
      </c>
      <c r="J66" s="20" t="e">
        <f>ROUND(G66-(G66*'Collision Data-Storm '!$B$18),1)</f>
        <v>#DIV/0!</v>
      </c>
      <c r="K66" s="55" t="e">
        <f>ROUND(H66-(H66*'Collision Data-Storm '!$B$18),2)</f>
        <v>#DIV/0!</v>
      </c>
      <c r="L66" s="151" t="e">
        <f>I66*'Parameters-Storm'!$D$28*'Collision Data-Storm '!$E$9</f>
        <v>#DIV/0!</v>
      </c>
      <c r="M66" s="146" t="e">
        <f>J66*'Parameters-Storm'!$D$23*'Collision Data-Storm '!$E$10</f>
        <v>#DIV/0!</v>
      </c>
      <c r="N66" s="157" t="e">
        <f>K66*'Parameters-Storm'!$D$24*'Collision Data-Storm '!$E$10</f>
        <v>#DIV/0!</v>
      </c>
      <c r="O66" s="6"/>
      <c r="P66" s="6"/>
    </row>
    <row r="67" spans="2:16" hidden="1" x14ac:dyDescent="0.25">
      <c r="B67" s="97">
        <v>2040</v>
      </c>
      <c r="C67" s="94">
        <v>14</v>
      </c>
      <c r="D67" s="142">
        <v>20</v>
      </c>
      <c r="E67" s="130">
        <f t="shared" si="7"/>
        <v>0</v>
      </c>
      <c r="F67" s="12" t="e">
        <f>ROUND((('Collision Data-Storm '!B$7*$E67*365*'Collision Data-Storm '!$B$60)/1000000),1)</f>
        <v>#DIV/0!</v>
      </c>
      <c r="G67" s="20" t="e">
        <f>ROUND((('Collision Data-Storm '!C$7*$E67*365*'Collision Data-Storm '!$B$60)/1000000),1)</f>
        <v>#DIV/0!</v>
      </c>
      <c r="H67" s="55" t="e">
        <f>ROUND((('Collision Data-Storm '!D$7*$E67*365*'Collision Data-Storm '!$B$60)/1000000),1)</f>
        <v>#DIV/0!</v>
      </c>
      <c r="I67" s="154" t="e">
        <f>ROUND(F67-(F67*'Collision Data-Storm '!$B$18),1)</f>
        <v>#DIV/0!</v>
      </c>
      <c r="J67" s="20" t="e">
        <f>ROUND(G67-(G67*'Collision Data-Storm '!$B$18),1)</f>
        <v>#DIV/0!</v>
      </c>
      <c r="K67" s="55" t="e">
        <f>ROUND(H67-(H67*'Collision Data-Storm '!$B$18),2)</f>
        <v>#DIV/0!</v>
      </c>
      <c r="L67" s="151" t="e">
        <f>I67*'Parameters-Storm'!$D$28*'Collision Data-Storm '!$E$9</f>
        <v>#DIV/0!</v>
      </c>
      <c r="M67" s="146" t="e">
        <f>J67*'Parameters-Storm'!$D$23*'Collision Data-Storm '!$E$10</f>
        <v>#DIV/0!</v>
      </c>
      <c r="N67" s="157" t="e">
        <f>K67*'Parameters-Storm'!$D$24*'Collision Data-Storm '!$E$10</f>
        <v>#DIV/0!</v>
      </c>
      <c r="O67" s="6"/>
      <c r="P67" s="6"/>
    </row>
    <row r="68" spans="2:16" hidden="1" x14ac:dyDescent="0.25">
      <c r="B68" s="98">
        <v>2041</v>
      </c>
      <c r="C68" s="94">
        <v>15</v>
      </c>
      <c r="D68" s="142">
        <v>21</v>
      </c>
      <c r="E68" s="130">
        <f t="shared" si="7"/>
        <v>0</v>
      </c>
      <c r="F68" s="12" t="e">
        <f>ROUND((('Collision Data-Storm '!B$7*$E68*365*'Collision Data-Storm '!$B$60)/1000000),1)</f>
        <v>#DIV/0!</v>
      </c>
      <c r="G68" s="20" t="e">
        <f>ROUND((('Collision Data-Storm '!C$7*$E68*365*'Collision Data-Storm '!$B$60)/1000000),1)</f>
        <v>#DIV/0!</v>
      </c>
      <c r="H68" s="55" t="e">
        <f>ROUND((('Collision Data-Storm '!D$7*$E68*365*'Collision Data-Storm '!$B$60)/1000000),1)</f>
        <v>#DIV/0!</v>
      </c>
      <c r="I68" s="154" t="e">
        <f>ROUND(F68-(F68*'Collision Data-Storm '!$B$18),1)</f>
        <v>#DIV/0!</v>
      </c>
      <c r="J68" s="20" t="e">
        <f>ROUND(G68-(G68*'Collision Data-Storm '!$B$18),1)</f>
        <v>#DIV/0!</v>
      </c>
      <c r="K68" s="55" t="e">
        <f>ROUND(H68-(H68*'Collision Data-Storm '!$B$18),2)</f>
        <v>#DIV/0!</v>
      </c>
      <c r="L68" s="151" t="e">
        <f>I68*'Parameters-Storm'!$D$28*'Collision Data-Storm '!$E$9</f>
        <v>#DIV/0!</v>
      </c>
      <c r="M68" s="146" t="e">
        <f>J68*'Parameters-Storm'!$D$23*'Collision Data-Storm '!$E$10</f>
        <v>#DIV/0!</v>
      </c>
      <c r="N68" s="157" t="e">
        <f>K68*'Parameters-Storm'!$D$24*'Collision Data-Storm '!$E$10</f>
        <v>#DIV/0!</v>
      </c>
      <c r="O68" s="6"/>
      <c r="P68" s="6"/>
    </row>
    <row r="69" spans="2:16" hidden="1" x14ac:dyDescent="0.25">
      <c r="B69" s="97">
        <v>2042</v>
      </c>
      <c r="C69" s="94">
        <v>16</v>
      </c>
      <c r="D69" s="142">
        <v>22</v>
      </c>
      <c r="E69" s="130">
        <f t="shared" si="7"/>
        <v>0</v>
      </c>
      <c r="F69" s="12" t="e">
        <f>ROUND((('Collision Data-Storm '!B$7*$E69*365*'Collision Data-Storm '!$B$60)/1000000),1)</f>
        <v>#DIV/0!</v>
      </c>
      <c r="G69" s="20" t="e">
        <f>ROUND((('Collision Data-Storm '!C$7*$E69*365*'Collision Data-Storm '!$B$60)/1000000),1)</f>
        <v>#DIV/0!</v>
      </c>
      <c r="H69" s="55" t="e">
        <f>ROUND((('Collision Data-Storm '!D$7*$E69*365*'Collision Data-Storm '!$B$60)/1000000),1)</f>
        <v>#DIV/0!</v>
      </c>
      <c r="I69" s="154" t="e">
        <f>ROUND(F69-(F69*'Collision Data-Storm '!$B$18),1)</f>
        <v>#DIV/0!</v>
      </c>
      <c r="J69" s="20" t="e">
        <f>ROUND(G69-(G69*'Collision Data-Storm '!$B$18),1)</f>
        <v>#DIV/0!</v>
      </c>
      <c r="K69" s="55" t="e">
        <f>ROUND(H69-(H69*'Collision Data-Storm '!$B$18),2)</f>
        <v>#DIV/0!</v>
      </c>
      <c r="L69" s="151" t="e">
        <f>I69*'Parameters-Storm'!$D$28*'Collision Data-Storm '!$E$9</f>
        <v>#DIV/0!</v>
      </c>
      <c r="M69" s="146" t="e">
        <f>J69*'Parameters-Storm'!$D$23*'Collision Data-Storm '!$E$10</f>
        <v>#DIV/0!</v>
      </c>
      <c r="N69" s="157" t="e">
        <f>K69*'Parameters-Storm'!$D$24*'Collision Data-Storm '!$E$10</f>
        <v>#DIV/0!</v>
      </c>
      <c r="O69" s="6"/>
      <c r="P69" s="6"/>
    </row>
    <row r="70" spans="2:16" hidden="1" x14ac:dyDescent="0.25">
      <c r="B70" s="98">
        <v>2043</v>
      </c>
      <c r="C70" s="94">
        <v>17</v>
      </c>
      <c r="D70" s="142">
        <v>23</v>
      </c>
      <c r="E70" s="130">
        <f t="shared" si="7"/>
        <v>0</v>
      </c>
      <c r="F70" s="12" t="e">
        <f>ROUND((('Collision Data-Storm '!B$7*$E70*365*'Collision Data-Storm '!$B$60)/1000000),1)</f>
        <v>#DIV/0!</v>
      </c>
      <c r="G70" s="20" t="e">
        <f>ROUND((('Collision Data-Storm '!C$7*$E70*365*'Collision Data-Storm '!$B$60)/1000000),1)</f>
        <v>#DIV/0!</v>
      </c>
      <c r="H70" s="55" t="e">
        <f>ROUND((('Collision Data-Storm '!D$7*$E70*365*'Collision Data-Storm '!$B$60)/1000000),1)</f>
        <v>#DIV/0!</v>
      </c>
      <c r="I70" s="154" t="e">
        <f>ROUND(F70-(F70*'Collision Data-Storm '!$B$18),1)</f>
        <v>#DIV/0!</v>
      </c>
      <c r="J70" s="20" t="e">
        <f>ROUND(G70-(G70*'Collision Data-Storm '!$B$18),1)</f>
        <v>#DIV/0!</v>
      </c>
      <c r="K70" s="55" t="e">
        <f>ROUND(H70-(H70*'Collision Data-Storm '!$B$18),2)</f>
        <v>#DIV/0!</v>
      </c>
      <c r="L70" s="151" t="e">
        <f>I70*'Parameters-Storm'!$D$28*'Collision Data-Storm '!$E$9</f>
        <v>#DIV/0!</v>
      </c>
      <c r="M70" s="146" t="e">
        <f>J70*'Parameters-Storm'!$D$23*'Collision Data-Storm '!$E$10</f>
        <v>#DIV/0!</v>
      </c>
      <c r="N70" s="157" t="e">
        <f>K70*'Parameters-Storm'!$D$24*'Collision Data-Storm '!$E$10</f>
        <v>#DIV/0!</v>
      </c>
      <c r="O70" s="6"/>
      <c r="P70" s="6"/>
    </row>
    <row r="71" spans="2:16" hidden="1" x14ac:dyDescent="0.25">
      <c r="B71" s="97">
        <v>2044</v>
      </c>
      <c r="C71" s="94">
        <v>18</v>
      </c>
      <c r="D71" s="142">
        <v>24</v>
      </c>
      <c r="E71" s="130">
        <f t="shared" si="7"/>
        <v>0</v>
      </c>
      <c r="F71" s="12" t="e">
        <f>ROUND((('Collision Data-Storm '!B$7*$E71*365*'Collision Data-Storm '!$B$60)/1000000),1)</f>
        <v>#DIV/0!</v>
      </c>
      <c r="G71" s="20" t="e">
        <f>ROUND((('Collision Data-Storm '!C$7*$E71*365*'Collision Data-Storm '!$B$60)/1000000),1)</f>
        <v>#DIV/0!</v>
      </c>
      <c r="H71" s="55" t="e">
        <f>ROUND((('Collision Data-Storm '!D$7*$E71*365*'Collision Data-Storm '!$B$60)/1000000),1)</f>
        <v>#DIV/0!</v>
      </c>
      <c r="I71" s="154" t="e">
        <f>ROUND(F71-(F71*'Collision Data-Storm '!$B$18),1)</f>
        <v>#DIV/0!</v>
      </c>
      <c r="J71" s="20" t="e">
        <f>ROUND(G71-(G71*'Collision Data-Storm '!$B$18),1)</f>
        <v>#DIV/0!</v>
      </c>
      <c r="K71" s="55" t="e">
        <f>ROUND(H71-(H71*'Collision Data-Storm '!$B$18),2)</f>
        <v>#DIV/0!</v>
      </c>
      <c r="L71" s="151" t="e">
        <f>I71*'Parameters-Storm'!$D$28*'Collision Data-Storm '!$E$9</f>
        <v>#DIV/0!</v>
      </c>
      <c r="M71" s="146" t="e">
        <f>J71*'Parameters-Storm'!$D$23*'Collision Data-Storm '!$E$10</f>
        <v>#DIV/0!</v>
      </c>
      <c r="N71" s="157" t="e">
        <f>K71*'Parameters-Storm'!$D$24*'Collision Data-Storm '!$E$10</f>
        <v>#DIV/0!</v>
      </c>
      <c r="O71" s="6"/>
      <c r="P71" s="6"/>
    </row>
    <row r="72" spans="2:16" hidden="1" x14ac:dyDescent="0.25">
      <c r="B72" s="98">
        <v>2045</v>
      </c>
      <c r="C72" s="94">
        <v>19</v>
      </c>
      <c r="D72" s="142">
        <v>25</v>
      </c>
      <c r="E72" s="130">
        <f t="shared" si="7"/>
        <v>0</v>
      </c>
      <c r="F72" s="12" t="e">
        <f>ROUND((('Collision Data-Storm '!B$7*$E72*365*'Collision Data-Storm '!$B$60)/1000000),1)</f>
        <v>#DIV/0!</v>
      </c>
      <c r="G72" s="20" t="e">
        <f>ROUND((('Collision Data-Storm '!C$7*$E72*365*'Collision Data-Storm '!$B$60)/1000000),1)</f>
        <v>#DIV/0!</v>
      </c>
      <c r="H72" s="55" t="e">
        <f>ROUND((('Collision Data-Storm '!D$7*$E72*365*'Collision Data-Storm '!$B$60)/1000000),1)</f>
        <v>#DIV/0!</v>
      </c>
      <c r="I72" s="154" t="e">
        <f>ROUND(F72-(F72*'Collision Data-Storm '!$B$18),1)</f>
        <v>#DIV/0!</v>
      </c>
      <c r="J72" s="20" t="e">
        <f>ROUND(G72-(G72*'Collision Data-Storm '!$B$18),1)</f>
        <v>#DIV/0!</v>
      </c>
      <c r="K72" s="55" t="e">
        <f>ROUND(H72-(H72*'Collision Data-Storm '!$B$18),2)</f>
        <v>#DIV/0!</v>
      </c>
      <c r="L72" s="151" t="e">
        <f>I72*'Parameters-Storm'!$D$28*'Collision Data-Storm '!$E$9</f>
        <v>#DIV/0!</v>
      </c>
      <c r="M72" s="146" t="e">
        <f>J72*'Parameters-Storm'!$D$23*'Collision Data-Storm '!$E$10</f>
        <v>#DIV/0!</v>
      </c>
      <c r="N72" s="157" t="e">
        <f>K72*'Parameters-Storm'!$D$24*'Collision Data-Storm '!$E$10</f>
        <v>#DIV/0!</v>
      </c>
      <c r="O72" s="6"/>
      <c r="P72" s="6"/>
    </row>
    <row r="73" spans="2:16" hidden="1" x14ac:dyDescent="0.25">
      <c r="B73" s="97">
        <v>2046</v>
      </c>
      <c r="C73" s="94">
        <v>20</v>
      </c>
      <c r="D73" s="142">
        <v>26</v>
      </c>
      <c r="E73" s="130">
        <f t="shared" si="7"/>
        <v>0</v>
      </c>
      <c r="F73" s="12" t="e">
        <f>ROUND((('Collision Data-Storm '!B$7*$E73*365*'Collision Data-Storm '!$B$60)/1000000),1)</f>
        <v>#DIV/0!</v>
      </c>
      <c r="G73" s="20" t="e">
        <f>ROUND((('Collision Data-Storm '!C$7*$E73*365*'Collision Data-Storm '!$B$60)/1000000),1)</f>
        <v>#DIV/0!</v>
      </c>
      <c r="H73" s="55" t="e">
        <f>ROUND((('Collision Data-Storm '!D$7*$E73*365*'Collision Data-Storm '!$B$60)/1000000),1)</f>
        <v>#DIV/0!</v>
      </c>
      <c r="I73" s="154" t="e">
        <f>ROUND(F73-(F73*'Collision Data-Storm '!$B$18),1)</f>
        <v>#DIV/0!</v>
      </c>
      <c r="J73" s="20" t="e">
        <f>ROUND(G73-(G73*'Collision Data-Storm '!$B$18),1)</f>
        <v>#DIV/0!</v>
      </c>
      <c r="K73" s="55" t="e">
        <f>ROUND(H73-(H73*'Collision Data-Storm '!$B$18),2)</f>
        <v>#DIV/0!</v>
      </c>
      <c r="L73" s="151" t="e">
        <f>I73*'Parameters-Storm'!$D$28*'Collision Data-Storm '!$E$9</f>
        <v>#DIV/0!</v>
      </c>
      <c r="M73" s="146" t="e">
        <f>J73*'Parameters-Storm'!$D$23*'Collision Data-Storm '!$E$10</f>
        <v>#DIV/0!</v>
      </c>
      <c r="N73" s="157" t="e">
        <f>K73*'Parameters-Storm'!$D$24*'Collision Data-Storm '!$E$10</f>
        <v>#DIV/0!</v>
      </c>
      <c r="O73" s="6"/>
      <c r="P73" s="6"/>
    </row>
    <row r="74" spans="2:16" hidden="1" x14ac:dyDescent="0.25">
      <c r="B74" s="96">
        <v>2047</v>
      </c>
      <c r="C74" s="92">
        <v>21</v>
      </c>
      <c r="D74" s="140">
        <v>27</v>
      </c>
      <c r="E74" s="129">
        <f t="shared" si="7"/>
        <v>0</v>
      </c>
      <c r="F74" s="172" t="e">
        <f>ROUND((('Collision Data-Storm '!B$7*$E74*365*'Collision Data-Storm '!$B$60)/1000000),1)</f>
        <v>#DIV/0!</v>
      </c>
      <c r="G74" s="69" t="e">
        <f>ROUND((('Collision Data-Storm '!C$7*$E74*365*'Collision Data-Storm '!$B$60)/1000000),1)</f>
        <v>#DIV/0!</v>
      </c>
      <c r="H74" s="71" t="e">
        <f>ROUND((('Collision Data-Storm '!D$7*$E74*365*'Collision Data-Storm '!$B$60)/1000000),1)</f>
        <v>#DIV/0!</v>
      </c>
      <c r="I74" s="173" t="e">
        <f>ROUND(F74-(F74*'Collision Data-Storm '!$B$18),1)</f>
        <v>#DIV/0!</v>
      </c>
      <c r="J74" s="69" t="e">
        <f>ROUND(G74-(G74*'Collision Data-Storm '!$B$18),1)</f>
        <v>#DIV/0!</v>
      </c>
      <c r="K74" s="71" t="e">
        <f>ROUND(H74-(H74*'Collision Data-Storm '!$B$18),2)</f>
        <v>#DIV/0!</v>
      </c>
      <c r="L74" s="150" t="e">
        <f>I74*'Parameters-Storm'!$D$28*'Collision Data-Storm '!$E$9</f>
        <v>#DIV/0!</v>
      </c>
      <c r="M74" s="145" t="e">
        <f>J74*'Parameters-Storm'!$D$23*'Collision Data-Storm '!$E$10</f>
        <v>#DIV/0!</v>
      </c>
      <c r="N74" s="162" t="e">
        <f>K74*'Parameters-Storm'!$D$24*'Collision Data-Storm '!$E$10</f>
        <v>#DIV/0!</v>
      </c>
      <c r="O74" s="6"/>
      <c r="P74" s="6"/>
    </row>
    <row r="75" spans="2:16" hidden="1" x14ac:dyDescent="0.25">
      <c r="B75" s="97">
        <v>2048</v>
      </c>
      <c r="C75" s="94">
        <v>22</v>
      </c>
      <c r="D75" s="142">
        <v>28</v>
      </c>
      <c r="E75" s="130">
        <f t="shared" si="7"/>
        <v>0</v>
      </c>
      <c r="F75" s="12" t="e">
        <f>ROUND((('Collision Data-Storm '!B$7*$E75*365*'Collision Data-Storm '!$B$60)/1000000),1)</f>
        <v>#DIV/0!</v>
      </c>
      <c r="G75" s="20" t="e">
        <f>ROUND((('Collision Data-Storm '!C$7*$E75*365*'Collision Data-Storm '!$B$60)/1000000),1)</f>
        <v>#DIV/0!</v>
      </c>
      <c r="H75" s="55" t="e">
        <f>ROUND((('Collision Data-Storm '!D$7*$E75*365*'Collision Data-Storm '!$B$60)/1000000),1)</f>
        <v>#DIV/0!</v>
      </c>
      <c r="I75" s="154" t="e">
        <f>ROUND(F75-(F75*'Collision Data-Storm '!$B$18),1)</f>
        <v>#DIV/0!</v>
      </c>
      <c r="J75" s="20" t="e">
        <f>ROUND(G75-(G75*'Collision Data-Storm '!$B$18),1)</f>
        <v>#DIV/0!</v>
      </c>
      <c r="K75" s="55" t="e">
        <f>ROUND(H75-(H75*'Collision Data-Storm '!$B$18),2)</f>
        <v>#DIV/0!</v>
      </c>
      <c r="L75" s="151" t="e">
        <f>I75*'Parameters-Storm'!$D$28*'Collision Data-Storm '!$E$9</f>
        <v>#DIV/0!</v>
      </c>
      <c r="M75" s="146" t="e">
        <f>J75*'Parameters-Storm'!$D$23*'Collision Data-Storm '!$E$10</f>
        <v>#DIV/0!</v>
      </c>
      <c r="N75" s="157" t="e">
        <f>K75*'Parameters-Storm'!$D$24*'Collision Data-Storm '!$E$10</f>
        <v>#DIV/0!</v>
      </c>
      <c r="O75" s="6"/>
      <c r="P75" s="6"/>
    </row>
    <row r="76" spans="2:16" hidden="1" x14ac:dyDescent="0.25">
      <c r="B76" s="98">
        <v>2049</v>
      </c>
      <c r="C76" s="94">
        <v>23</v>
      </c>
      <c r="D76" s="142">
        <v>29</v>
      </c>
      <c r="E76" s="130">
        <f t="shared" si="7"/>
        <v>0</v>
      </c>
      <c r="F76" s="12" t="e">
        <f>ROUND((('Collision Data-Storm '!B$7*$E76*365*'Collision Data-Storm '!$B$60)/1000000),1)</f>
        <v>#DIV/0!</v>
      </c>
      <c r="G76" s="20" t="e">
        <f>ROUND((('Collision Data-Storm '!C$7*$E76*365*'Collision Data-Storm '!$B$60)/1000000),1)</f>
        <v>#DIV/0!</v>
      </c>
      <c r="H76" s="55" t="e">
        <f>ROUND((('Collision Data-Storm '!D$7*$E76*365*'Collision Data-Storm '!$B$60)/1000000),1)</f>
        <v>#DIV/0!</v>
      </c>
      <c r="I76" s="154" t="e">
        <f>ROUND(F76-(F76*'Collision Data-Storm '!$B$18),1)</f>
        <v>#DIV/0!</v>
      </c>
      <c r="J76" s="20" t="e">
        <f>ROUND(G76-(G76*'Collision Data-Storm '!$B$18),1)</f>
        <v>#DIV/0!</v>
      </c>
      <c r="K76" s="55" t="e">
        <f>ROUND(H76-(H76*'Collision Data-Storm '!$B$18),2)</f>
        <v>#DIV/0!</v>
      </c>
      <c r="L76" s="151" t="e">
        <f>I76*'Parameters-Storm'!$D$28*'Collision Data-Storm '!$E$9</f>
        <v>#DIV/0!</v>
      </c>
      <c r="M76" s="146" t="e">
        <f>J76*'Parameters-Storm'!$D$23*'Collision Data-Storm '!$E$10</f>
        <v>#DIV/0!</v>
      </c>
      <c r="N76" s="157" t="e">
        <f>K76*'Parameters-Storm'!$D$24*'Collision Data-Storm '!$E$10</f>
        <v>#DIV/0!</v>
      </c>
      <c r="O76" s="6"/>
      <c r="P76" s="6"/>
    </row>
    <row r="77" spans="2:16" hidden="1" x14ac:dyDescent="0.25">
      <c r="B77" s="97">
        <v>2050</v>
      </c>
      <c r="C77" s="94">
        <v>24</v>
      </c>
      <c r="D77" s="142">
        <v>30</v>
      </c>
      <c r="E77" s="130">
        <f t="shared" si="7"/>
        <v>0</v>
      </c>
      <c r="F77" s="12" t="e">
        <f>ROUND((('Collision Data-Storm '!B$7*$E77*365*'Collision Data-Storm '!$B$60)/1000000),1)</f>
        <v>#DIV/0!</v>
      </c>
      <c r="G77" s="20" t="e">
        <f>ROUND((('Collision Data-Storm '!C$7*$E77*365*'Collision Data-Storm '!$B$60)/1000000),1)</f>
        <v>#DIV/0!</v>
      </c>
      <c r="H77" s="55" t="e">
        <f>ROUND((('Collision Data-Storm '!D$7*$E77*365*'Collision Data-Storm '!$B$60)/1000000),1)</f>
        <v>#DIV/0!</v>
      </c>
      <c r="I77" s="154" t="e">
        <f>ROUND(F77-(F77*'Collision Data-Storm '!$B$18),1)</f>
        <v>#DIV/0!</v>
      </c>
      <c r="J77" s="20" t="e">
        <f>ROUND(G77-(G77*'Collision Data-Storm '!$B$18),1)</f>
        <v>#DIV/0!</v>
      </c>
      <c r="K77" s="55" t="e">
        <f>ROUND(H77-(H77*'Collision Data-Storm '!$B$18),2)</f>
        <v>#DIV/0!</v>
      </c>
      <c r="L77" s="151" t="e">
        <f>I77*'Parameters-Storm'!$D$28*'Collision Data-Storm '!$E$9</f>
        <v>#DIV/0!</v>
      </c>
      <c r="M77" s="146" t="e">
        <f>J77*'Parameters-Storm'!$D$23*'Collision Data-Storm '!$E$10</f>
        <v>#DIV/0!</v>
      </c>
      <c r="N77" s="157" t="e">
        <f>K77*'Parameters-Storm'!$D$24*'Collision Data-Storm '!$E$10</f>
        <v>#DIV/0!</v>
      </c>
      <c r="O77" s="6"/>
      <c r="P77" s="6"/>
    </row>
    <row r="78" spans="2:16" hidden="1" x14ac:dyDescent="0.25">
      <c r="B78" s="98">
        <v>2051</v>
      </c>
      <c r="C78" s="94">
        <v>25</v>
      </c>
      <c r="D78" s="142">
        <v>31</v>
      </c>
      <c r="E78" s="130">
        <f t="shared" si="7"/>
        <v>0</v>
      </c>
      <c r="F78" s="12" t="e">
        <f>ROUND((('Collision Data-Storm '!B$7*$E78*365*'Collision Data-Storm '!$B$60)/1000000),1)</f>
        <v>#DIV/0!</v>
      </c>
      <c r="G78" s="20" t="e">
        <f>ROUND((('Collision Data-Storm '!C$7*$E78*365*'Collision Data-Storm '!$B$60)/1000000),1)</f>
        <v>#DIV/0!</v>
      </c>
      <c r="H78" s="55" t="e">
        <f>ROUND((('Collision Data-Storm '!D$7*$E78*365*'Collision Data-Storm '!$B$60)/1000000),1)</f>
        <v>#DIV/0!</v>
      </c>
      <c r="I78" s="154" t="e">
        <f>ROUND(F78-(F78*'Collision Data-Storm '!$B$18),1)</f>
        <v>#DIV/0!</v>
      </c>
      <c r="J78" s="20" t="e">
        <f>ROUND(G78-(G78*'Collision Data-Storm '!$B$18),1)</f>
        <v>#DIV/0!</v>
      </c>
      <c r="K78" s="55" t="e">
        <f>ROUND(H78-(H78*'Collision Data-Storm '!$B$18),2)</f>
        <v>#DIV/0!</v>
      </c>
      <c r="L78" s="151" t="e">
        <f>I78*'Parameters-Storm'!$D$28*'Collision Data-Storm '!$E$9</f>
        <v>#DIV/0!</v>
      </c>
      <c r="M78" s="146" t="e">
        <f>J78*'Parameters-Storm'!$D$23*'Collision Data-Storm '!$E$10</f>
        <v>#DIV/0!</v>
      </c>
      <c r="N78" s="157" t="e">
        <f>K78*'Parameters-Storm'!$D$24*'Collision Data-Storm '!$E$10</f>
        <v>#DIV/0!</v>
      </c>
      <c r="O78" s="6"/>
      <c r="P78" s="6"/>
    </row>
    <row r="79" spans="2:16" hidden="1" x14ac:dyDescent="0.25">
      <c r="B79" s="97">
        <v>2052</v>
      </c>
      <c r="C79" s="94">
        <v>26</v>
      </c>
      <c r="D79" s="142">
        <v>32</v>
      </c>
      <c r="E79" s="130">
        <f t="shared" si="7"/>
        <v>0</v>
      </c>
      <c r="F79" s="12" t="e">
        <f>ROUND((('Collision Data-Storm '!B$7*$E79*365*'Collision Data-Storm '!$B$60)/1000000),1)</f>
        <v>#DIV/0!</v>
      </c>
      <c r="G79" s="20" t="e">
        <f>ROUND((('Collision Data-Storm '!C$7*$E79*365*'Collision Data-Storm '!$B$60)/1000000),1)</f>
        <v>#DIV/0!</v>
      </c>
      <c r="H79" s="55" t="e">
        <f>ROUND((('Collision Data-Storm '!D$7*$E79*365*'Collision Data-Storm '!$B$60)/1000000),1)</f>
        <v>#DIV/0!</v>
      </c>
      <c r="I79" s="154" t="e">
        <f>ROUND(F79-(F79*'Collision Data-Storm '!$B$18),1)</f>
        <v>#DIV/0!</v>
      </c>
      <c r="J79" s="20" t="e">
        <f>ROUND(G79-(G79*'Collision Data-Storm '!$B$18),1)</f>
        <v>#DIV/0!</v>
      </c>
      <c r="K79" s="55" t="e">
        <f>ROUND(H79-(H79*'Collision Data-Storm '!$B$18),2)</f>
        <v>#DIV/0!</v>
      </c>
      <c r="L79" s="151" t="e">
        <f>I79*'Parameters-Storm'!$D$28*'Collision Data-Storm '!$E$9</f>
        <v>#DIV/0!</v>
      </c>
      <c r="M79" s="146" t="e">
        <f>J79*'Parameters-Storm'!$D$23*'Collision Data-Storm '!$E$10</f>
        <v>#DIV/0!</v>
      </c>
      <c r="N79" s="157" t="e">
        <f>K79*'Parameters-Storm'!$D$24*'Collision Data-Storm '!$E$10</f>
        <v>#DIV/0!</v>
      </c>
      <c r="O79" s="6"/>
      <c r="P79" s="6"/>
    </row>
    <row r="80" spans="2:16" hidden="1" x14ac:dyDescent="0.25">
      <c r="B80" s="98">
        <v>2053</v>
      </c>
      <c r="C80" s="94">
        <v>27</v>
      </c>
      <c r="D80" s="142">
        <v>33</v>
      </c>
      <c r="E80" s="130">
        <f t="shared" si="7"/>
        <v>0</v>
      </c>
      <c r="F80" s="12" t="e">
        <f>ROUND((('Collision Data-Storm '!B$7*$E80*365*'Collision Data-Storm '!$B$60)/1000000),1)</f>
        <v>#DIV/0!</v>
      </c>
      <c r="G80" s="20" t="e">
        <f>ROUND((('Collision Data-Storm '!C$7*$E80*365*'Collision Data-Storm '!$B$60)/1000000),1)</f>
        <v>#DIV/0!</v>
      </c>
      <c r="H80" s="55" t="e">
        <f>ROUND((('Collision Data-Storm '!D$7*$E80*365*'Collision Data-Storm '!$B$60)/1000000),1)</f>
        <v>#DIV/0!</v>
      </c>
      <c r="I80" s="154" t="e">
        <f>ROUND(F80-(F80*'Collision Data-Storm '!$B$18),1)</f>
        <v>#DIV/0!</v>
      </c>
      <c r="J80" s="20" t="e">
        <f>ROUND(G80-(G80*'Collision Data-Storm '!$B$18),1)</f>
        <v>#DIV/0!</v>
      </c>
      <c r="K80" s="55" t="e">
        <f>ROUND(H80-(H80*'Collision Data-Storm '!$B$18),2)</f>
        <v>#DIV/0!</v>
      </c>
      <c r="L80" s="151" t="e">
        <f>I80*'Parameters-Storm'!$D$28*'Collision Data-Storm '!$E$9</f>
        <v>#DIV/0!</v>
      </c>
      <c r="M80" s="146" t="e">
        <f>J80*'Parameters-Storm'!$D$23*'Collision Data-Storm '!$E$10</f>
        <v>#DIV/0!</v>
      </c>
      <c r="N80" s="157" t="e">
        <f>K80*'Parameters-Storm'!$D$24*'Collision Data-Storm '!$E$10</f>
        <v>#DIV/0!</v>
      </c>
      <c r="O80" s="6"/>
      <c r="P80" s="6"/>
    </row>
    <row r="81" spans="2:16" hidden="1" x14ac:dyDescent="0.25">
      <c r="B81" s="97">
        <v>2054</v>
      </c>
      <c r="C81" s="94">
        <v>28</v>
      </c>
      <c r="D81" s="142">
        <v>34</v>
      </c>
      <c r="E81" s="130">
        <f t="shared" si="7"/>
        <v>0</v>
      </c>
      <c r="F81" s="12" t="e">
        <f>ROUND((('Collision Data-Storm '!B$7*$E81*365*'Collision Data-Storm '!$B$60)/1000000),1)</f>
        <v>#DIV/0!</v>
      </c>
      <c r="G81" s="20" t="e">
        <f>ROUND((('Collision Data-Storm '!C$7*$E81*365*'Collision Data-Storm '!$B$60)/1000000),1)</f>
        <v>#DIV/0!</v>
      </c>
      <c r="H81" s="55" t="e">
        <f>ROUND((('Collision Data-Storm '!D$7*$E81*365*'Collision Data-Storm '!$B$60)/1000000),1)</f>
        <v>#DIV/0!</v>
      </c>
      <c r="I81" s="154" t="e">
        <f>ROUND(F81-(F81*'Collision Data-Storm '!$B$18),1)</f>
        <v>#DIV/0!</v>
      </c>
      <c r="J81" s="20" t="e">
        <f>ROUND(G81-(G81*'Collision Data-Storm '!$B$18),1)</f>
        <v>#DIV/0!</v>
      </c>
      <c r="K81" s="55" t="e">
        <f>ROUND(H81-(H81*'Collision Data-Storm '!$B$18),2)</f>
        <v>#DIV/0!</v>
      </c>
      <c r="L81" s="151" t="e">
        <f>I81*'Parameters-Storm'!$D$28*'Collision Data-Storm '!$E$9</f>
        <v>#DIV/0!</v>
      </c>
      <c r="M81" s="146" t="e">
        <f>J81*'Parameters-Storm'!$D$23*'Collision Data-Storm '!$E$10</f>
        <v>#DIV/0!</v>
      </c>
      <c r="N81" s="157" t="e">
        <f>K81*'Parameters-Storm'!$D$24*'Collision Data-Storm '!$E$10</f>
        <v>#DIV/0!</v>
      </c>
      <c r="O81" s="6"/>
      <c r="P81" s="6"/>
    </row>
    <row r="82" spans="2:16" hidden="1" x14ac:dyDescent="0.25">
      <c r="B82" s="98">
        <v>2055</v>
      </c>
      <c r="C82" s="94">
        <v>29</v>
      </c>
      <c r="D82" s="142">
        <v>35</v>
      </c>
      <c r="E82" s="130">
        <f t="shared" si="7"/>
        <v>0</v>
      </c>
      <c r="F82" s="12" t="e">
        <f>ROUND((('Collision Data-Storm '!B$7*$E82*365*'Collision Data-Storm '!$B$60)/1000000),1)</f>
        <v>#DIV/0!</v>
      </c>
      <c r="G82" s="20" t="e">
        <f>ROUND((('Collision Data-Storm '!C$7*$E82*365*'Collision Data-Storm '!$B$60)/1000000),1)</f>
        <v>#DIV/0!</v>
      </c>
      <c r="H82" s="55" t="e">
        <f>ROUND((('Collision Data-Storm '!D$7*$E82*365*'Collision Data-Storm '!$B$60)/1000000),1)</f>
        <v>#DIV/0!</v>
      </c>
      <c r="I82" s="154" t="e">
        <f>ROUND(F82-(F82*'Collision Data-Storm '!$B$18),1)</f>
        <v>#DIV/0!</v>
      </c>
      <c r="J82" s="20" t="e">
        <f>ROUND(G82-(G82*'Collision Data-Storm '!$B$18),1)</f>
        <v>#DIV/0!</v>
      </c>
      <c r="K82" s="55" t="e">
        <f>ROUND(H82-(H82*'Collision Data-Storm '!$B$18),2)</f>
        <v>#DIV/0!</v>
      </c>
      <c r="L82" s="151" t="e">
        <f>I82*'Parameters-Storm'!$D$28*'Collision Data-Storm '!$E$9</f>
        <v>#DIV/0!</v>
      </c>
      <c r="M82" s="146" t="e">
        <f>J82*'Parameters-Storm'!$D$23*'Collision Data-Storm '!$E$10</f>
        <v>#DIV/0!</v>
      </c>
      <c r="N82" s="157" t="e">
        <f>K82*'Parameters-Storm'!$D$24*'Collision Data-Storm '!$E$10</f>
        <v>#DIV/0!</v>
      </c>
      <c r="O82" s="6"/>
      <c r="P82" s="6"/>
    </row>
    <row r="83" spans="2:16" hidden="1" x14ac:dyDescent="0.25">
      <c r="B83" s="97">
        <v>2056</v>
      </c>
      <c r="C83" s="94">
        <v>30</v>
      </c>
      <c r="D83" s="142">
        <v>36</v>
      </c>
      <c r="E83" s="130">
        <f t="shared" si="7"/>
        <v>0</v>
      </c>
      <c r="F83" s="12" t="e">
        <f>ROUND((('Collision Data-Storm '!B$7*$E83*365*'Collision Data-Storm '!$B$60)/1000000),1)</f>
        <v>#DIV/0!</v>
      </c>
      <c r="G83" s="20" t="e">
        <f>ROUND((('Collision Data-Storm '!C$7*$E83*365*'Collision Data-Storm '!$B$60)/1000000),1)</f>
        <v>#DIV/0!</v>
      </c>
      <c r="H83" s="55" t="e">
        <f>ROUND((('Collision Data-Storm '!D$7*$E83*365*'Collision Data-Storm '!$B$60)/1000000),1)</f>
        <v>#DIV/0!</v>
      </c>
      <c r="I83" s="154" t="e">
        <f>ROUND(F83-(F83*'Collision Data-Storm '!$B$18),1)</f>
        <v>#DIV/0!</v>
      </c>
      <c r="J83" s="20" t="e">
        <f>ROUND(G83-(G83*'Collision Data-Storm '!$B$18),1)</f>
        <v>#DIV/0!</v>
      </c>
      <c r="K83" s="55" t="e">
        <f>ROUND(H83-(H83*'Collision Data-Storm '!$B$18),2)</f>
        <v>#DIV/0!</v>
      </c>
      <c r="L83" s="151" t="e">
        <f>I83*'Parameters-Storm'!$D$28*'Collision Data-Storm '!$E$9</f>
        <v>#DIV/0!</v>
      </c>
      <c r="M83" s="146" t="e">
        <f>J83*'Parameters-Storm'!$D$23*'Collision Data-Storm '!$E$10</f>
        <v>#DIV/0!</v>
      </c>
      <c r="N83" s="157" t="e">
        <f>K83*'Parameters-Storm'!$D$24*'Collision Data-Storm '!$E$10</f>
        <v>#DIV/0!</v>
      </c>
      <c r="O83" s="6"/>
      <c r="P83" s="6"/>
    </row>
    <row r="84" spans="2:16" ht="15.75" hidden="1" thickBot="1" x14ac:dyDescent="0.3">
      <c r="B84" s="99">
        <v>2057</v>
      </c>
      <c r="C84" s="100">
        <v>31</v>
      </c>
      <c r="D84" s="143">
        <v>37</v>
      </c>
      <c r="E84" s="131">
        <f t="shared" si="7"/>
        <v>0</v>
      </c>
      <c r="F84" s="64" t="e">
        <f>ROUND((('Collision Data-Storm '!B$7*$E84*365*'Collision Data-Storm '!$B$60)/1000000),1)</f>
        <v>#DIV/0!</v>
      </c>
      <c r="G84" s="121" t="e">
        <f>ROUND((('Collision Data-Storm '!C$7*$E84*365*'Collision Data-Storm '!$B$60)/1000000),1)</f>
        <v>#DIV/0!</v>
      </c>
      <c r="H84" s="108" t="e">
        <f>ROUND((('Collision Data-Storm '!D$7*$E84*365*'Collision Data-Storm '!$B$60)/1000000),1)</f>
        <v>#DIV/0!</v>
      </c>
      <c r="I84" s="156" t="e">
        <f>ROUND(F84-(F84*'Collision Data-Storm '!$B$18),1)</f>
        <v>#DIV/0!</v>
      </c>
      <c r="J84" s="121" t="e">
        <f>ROUND(G84-(G84*'Collision Data-Storm '!$B$18),1)</f>
        <v>#DIV/0!</v>
      </c>
      <c r="K84" s="108" t="e">
        <f>ROUND(H84-(H84*'Collision Data-Storm '!$B$18),2)</f>
        <v>#DIV/0!</v>
      </c>
      <c r="L84" s="152" t="e">
        <f>I84*'Parameters-Storm'!$D$28*'Collision Data-Storm '!$E$9</f>
        <v>#DIV/0!</v>
      </c>
      <c r="M84" s="153" t="e">
        <f>J84*'Parameters-Storm'!$D$23*'Collision Data-Storm '!$E$10</f>
        <v>#DIV/0!</v>
      </c>
      <c r="N84" s="158" t="e">
        <f>K84*'Parameters-Storm'!$D$24*'Collision Data-Storm '!$E$10</f>
        <v>#DIV/0!</v>
      </c>
      <c r="O84" s="6"/>
      <c r="P84" s="6"/>
    </row>
    <row r="85" spans="2:16" ht="15.75" hidden="1" thickBot="1" x14ac:dyDescent="0.3">
      <c r="F85" s="306" t="e">
        <f>SUM(F48:F84)</f>
        <v>#DIV/0!</v>
      </c>
      <c r="G85" s="306" t="e">
        <f t="shared" ref="G85:K85" si="8">SUM(G48:G84)</f>
        <v>#DIV/0!</v>
      </c>
      <c r="H85" s="306" t="e">
        <f t="shared" si="8"/>
        <v>#DIV/0!</v>
      </c>
      <c r="I85" s="306" t="e">
        <f t="shared" si="8"/>
        <v>#DIV/0!</v>
      </c>
      <c r="J85" s="306" t="e">
        <f t="shared" si="8"/>
        <v>#DIV/0!</v>
      </c>
      <c r="K85" s="306" t="e">
        <f t="shared" si="8"/>
        <v>#DIV/0!</v>
      </c>
      <c r="L85" s="5" t="e">
        <f>SUM(L48:L84)</f>
        <v>#DIV/0!</v>
      </c>
      <c r="M85" s="8" t="e">
        <f>SUM(M48:M84)</f>
        <v>#DIV/0!</v>
      </c>
      <c r="N85" s="4" t="e">
        <f>SUM(N48:N84)</f>
        <v>#DIV/0!</v>
      </c>
      <c r="O85" s="26"/>
      <c r="P85" s="26"/>
    </row>
    <row r="86" spans="2:16" hidden="1" x14ac:dyDescent="0.25">
      <c r="F86" s="306"/>
      <c r="G86" s="306"/>
      <c r="H86" s="306"/>
      <c r="I86" s="306" t="e">
        <f>F85-I85</f>
        <v>#DIV/0!</v>
      </c>
      <c r="J86" s="306" t="e">
        <f>G85-J85</f>
        <v>#DIV/0!</v>
      </c>
      <c r="K86" s="306" t="e">
        <f t="shared" ref="K86" si="9">H85-K85</f>
        <v>#DIV/0!</v>
      </c>
      <c r="L86" s="23"/>
      <c r="M86" s="23"/>
      <c r="N86" s="23"/>
      <c r="O86" s="26"/>
      <c r="P86" s="26"/>
    </row>
    <row r="87" spans="2:16" ht="15.75" hidden="1" thickBot="1" x14ac:dyDescent="0.3">
      <c r="B87" s="18" t="s">
        <v>140</v>
      </c>
      <c r="I87" s="60"/>
      <c r="O87" s="19"/>
      <c r="P87" s="19"/>
    </row>
    <row r="88" spans="2:16" ht="15" hidden="1" customHeight="1" x14ac:dyDescent="0.25">
      <c r="B88" s="574" t="s">
        <v>1</v>
      </c>
      <c r="C88" s="576" t="s">
        <v>2</v>
      </c>
      <c r="D88" s="588" t="s">
        <v>22</v>
      </c>
      <c r="E88" s="584" t="s">
        <v>47</v>
      </c>
      <c r="F88" s="580" t="s">
        <v>48</v>
      </c>
      <c r="G88" s="573"/>
      <c r="H88" s="567"/>
      <c r="I88" s="580" t="s">
        <v>50</v>
      </c>
      <c r="J88" s="573"/>
      <c r="K88" s="567"/>
      <c r="L88" s="566" t="s">
        <v>136</v>
      </c>
      <c r="M88" s="573"/>
      <c r="N88" s="567"/>
      <c r="O88" s="24"/>
      <c r="P88" s="24"/>
    </row>
    <row r="89" spans="2:16" ht="15.75" hidden="1" thickBot="1" x14ac:dyDescent="0.3">
      <c r="B89" s="575"/>
      <c r="C89" s="577"/>
      <c r="D89" s="589"/>
      <c r="E89" s="585"/>
      <c r="F89" s="27" t="s">
        <v>35</v>
      </c>
      <c r="G89" s="47" t="s">
        <v>36</v>
      </c>
      <c r="H89" s="48" t="s">
        <v>37</v>
      </c>
      <c r="I89" s="27" t="s">
        <v>35</v>
      </c>
      <c r="J89" s="47" t="s">
        <v>36</v>
      </c>
      <c r="K89" s="48" t="s">
        <v>37</v>
      </c>
      <c r="L89" s="103" t="s">
        <v>35</v>
      </c>
      <c r="M89" s="47" t="s">
        <v>36</v>
      </c>
      <c r="N89" s="48" t="s">
        <v>37</v>
      </c>
      <c r="O89" s="7"/>
      <c r="P89" s="7"/>
    </row>
    <row r="90" spans="2:16" hidden="1" x14ac:dyDescent="0.25">
      <c r="B90" s="101">
        <v>2021</v>
      </c>
      <c r="C90" s="102">
        <v>0</v>
      </c>
      <c r="D90" s="138">
        <v>1</v>
      </c>
      <c r="E90" s="163">
        <f t="shared" ref="E90:E95" si="10">$E$96*(1+0.005)^(B90-$B$96)</f>
        <v>0</v>
      </c>
      <c r="F90" s="164" t="e">
        <f>(('Collision Data-Storm '!B$8*$E90*1*365)/1000000)</f>
        <v>#DIV/0!</v>
      </c>
      <c r="G90" s="165" t="e">
        <f>(('Collision Data-Storm '!C$8*$E90*1*365)/1000000)</f>
        <v>#DIV/0!</v>
      </c>
      <c r="H90" s="166" t="e">
        <f>(('Collision Data-Storm '!D$8*$E90*1*365)/1000000)</f>
        <v>#DIV/0!</v>
      </c>
      <c r="I90" s="167">
        <v>0</v>
      </c>
      <c r="J90" s="168">
        <v>0</v>
      </c>
      <c r="K90" s="169">
        <v>0</v>
      </c>
      <c r="L90" s="148">
        <f>I90*'Parameters-Storm'!$D$28*'Collision Data-Storm '!$E$9</f>
        <v>0</v>
      </c>
      <c r="M90" s="147">
        <f>J90*'Parameters-Storm'!$D$23*'Collision Data-Storm '!$E$10</f>
        <v>0</v>
      </c>
      <c r="N90" s="170">
        <f>K90*'Parameters-Storm'!$D$24*'Collision Data-Storm '!$E$10</f>
        <v>0</v>
      </c>
      <c r="O90" s="6"/>
      <c r="P90" s="6"/>
    </row>
    <row r="91" spans="2:16" hidden="1" x14ac:dyDescent="0.25">
      <c r="B91" s="95">
        <v>2022</v>
      </c>
      <c r="C91" s="91">
        <v>0</v>
      </c>
      <c r="D91" s="139">
        <v>2</v>
      </c>
      <c r="E91" s="128">
        <f t="shared" si="10"/>
        <v>0</v>
      </c>
      <c r="F91" s="106" t="e">
        <f>(('Collision Data-Storm '!B$8*$E91*1*365)/1000000)</f>
        <v>#DIV/0!</v>
      </c>
      <c r="G91" s="105" t="e">
        <f>(('Collision Data-Storm '!C$8*$E91*1*365)/1000000)</f>
        <v>#DIV/0!</v>
      </c>
      <c r="H91" s="107" t="e">
        <f>(('Collision Data-Storm '!D$8*$E91*1*365)/1000000)</f>
        <v>#DIV/0!</v>
      </c>
      <c r="I91" s="135">
        <v>0</v>
      </c>
      <c r="J91" s="124">
        <v>0</v>
      </c>
      <c r="K91" s="123">
        <v>0</v>
      </c>
      <c r="L91" s="149">
        <f>I91*'Parameters-Storm'!$D$28*'Collision Data-Storm '!$E$9</f>
        <v>0</v>
      </c>
      <c r="M91" s="144">
        <f>J91*'Parameters-Storm'!$D$23*'Collision Data-Storm '!$E$10</f>
        <v>0</v>
      </c>
      <c r="N91" s="161">
        <f>K91*'Parameters-Storm'!$D$24*'Collision Data-Storm '!$E$10</f>
        <v>0</v>
      </c>
      <c r="O91" s="6"/>
      <c r="P91" s="6"/>
    </row>
    <row r="92" spans="2:16" hidden="1" x14ac:dyDescent="0.25">
      <c r="B92" s="95">
        <v>2023</v>
      </c>
      <c r="C92" s="91">
        <v>0</v>
      </c>
      <c r="D92" s="139">
        <v>3</v>
      </c>
      <c r="E92" s="128">
        <f t="shared" si="10"/>
        <v>0</v>
      </c>
      <c r="F92" s="106" t="e">
        <f>(('Collision Data-Storm '!B$8*$E92*1*365)/1000000)</f>
        <v>#DIV/0!</v>
      </c>
      <c r="G92" s="105" t="e">
        <f>(('Collision Data-Storm '!C$8*$E92*1*365)/1000000)</f>
        <v>#DIV/0!</v>
      </c>
      <c r="H92" s="107" t="e">
        <f>(('Collision Data-Storm '!D$8*$E92*1*365)/1000000)</f>
        <v>#DIV/0!</v>
      </c>
      <c r="I92" s="135">
        <v>0</v>
      </c>
      <c r="J92" s="124">
        <v>0</v>
      </c>
      <c r="K92" s="123">
        <v>0</v>
      </c>
      <c r="L92" s="149">
        <f>I92*'Parameters-Storm'!$D$28*'Collision Data-Storm '!$E$9</f>
        <v>0</v>
      </c>
      <c r="M92" s="144">
        <f>J92*'Parameters-Storm'!$D$23*'Collision Data-Storm '!$E$10</f>
        <v>0</v>
      </c>
      <c r="N92" s="161">
        <f>K92*'Parameters-Storm'!$D$24*'Collision Data-Storm '!$E$10</f>
        <v>0</v>
      </c>
      <c r="O92" s="6"/>
      <c r="P92" s="6"/>
    </row>
    <row r="93" spans="2:16" hidden="1" x14ac:dyDescent="0.25">
      <c r="B93" s="95">
        <v>2024</v>
      </c>
      <c r="C93" s="91">
        <v>0</v>
      </c>
      <c r="D93" s="139">
        <v>4</v>
      </c>
      <c r="E93" s="128">
        <f t="shared" si="10"/>
        <v>0</v>
      </c>
      <c r="F93" s="106" t="e">
        <f>(('Collision Data-Storm '!B$8*$E93*1*365)/1000000)</f>
        <v>#DIV/0!</v>
      </c>
      <c r="G93" s="105" t="e">
        <f>(('Collision Data-Storm '!C$8*$E93*1*365)/1000000)</f>
        <v>#DIV/0!</v>
      </c>
      <c r="H93" s="107" t="e">
        <f>(('Collision Data-Storm '!D$8*$E93*1*365)/1000000)</f>
        <v>#DIV/0!</v>
      </c>
      <c r="I93" s="135">
        <v>0</v>
      </c>
      <c r="J93" s="124">
        <v>0</v>
      </c>
      <c r="K93" s="123">
        <v>0</v>
      </c>
      <c r="L93" s="149">
        <f>I93*'Parameters-Storm'!$D$28*'Collision Data-Storm '!$E$9</f>
        <v>0</v>
      </c>
      <c r="M93" s="144">
        <f>J93*'Parameters-Storm'!$D$23*'Collision Data-Storm '!$E$10</f>
        <v>0</v>
      </c>
      <c r="N93" s="161">
        <f>K93*'Parameters-Storm'!$D$24*'Collision Data-Storm '!$E$10</f>
        <v>0</v>
      </c>
      <c r="O93" s="6"/>
      <c r="P93" s="6"/>
    </row>
    <row r="94" spans="2:16" hidden="1" x14ac:dyDescent="0.25">
      <c r="B94" s="95">
        <v>2025</v>
      </c>
      <c r="C94" s="91">
        <v>0</v>
      </c>
      <c r="D94" s="139">
        <v>5</v>
      </c>
      <c r="E94" s="128">
        <f t="shared" si="10"/>
        <v>0</v>
      </c>
      <c r="F94" s="106" t="e">
        <f>(('Collision Data-Storm '!B$8*$E94*1*365)/1000000)</f>
        <v>#DIV/0!</v>
      </c>
      <c r="G94" s="105" t="e">
        <f>(('Collision Data-Storm '!C$8*$E94*1*365)/1000000)</f>
        <v>#DIV/0!</v>
      </c>
      <c r="H94" s="107" t="e">
        <f>(('Collision Data-Storm '!D$8*$E94*1*365)/1000000)</f>
        <v>#DIV/0!</v>
      </c>
      <c r="I94" s="135">
        <v>0</v>
      </c>
      <c r="J94" s="124">
        <v>0</v>
      </c>
      <c r="K94" s="123">
        <v>0</v>
      </c>
      <c r="L94" s="149">
        <f>I94*'Parameters-Storm'!$D$28*'Collision Data-Storm '!$E$9</f>
        <v>0</v>
      </c>
      <c r="M94" s="144">
        <f>J94*'Parameters-Storm'!$D$23*'Collision Data-Storm '!$E$10</f>
        <v>0</v>
      </c>
      <c r="N94" s="161">
        <f>K94*'Parameters-Storm'!$D$24*'Collision Data-Storm '!$E$10</f>
        <v>0</v>
      </c>
      <c r="O94" s="6"/>
      <c r="P94" s="6"/>
    </row>
    <row r="95" spans="2:16" hidden="1" x14ac:dyDescent="0.25">
      <c r="B95" s="95">
        <v>2026</v>
      </c>
      <c r="C95" s="91">
        <v>0</v>
      </c>
      <c r="D95" s="139">
        <v>6</v>
      </c>
      <c r="E95" s="128">
        <f t="shared" si="10"/>
        <v>0</v>
      </c>
      <c r="F95" s="106" t="e">
        <f>(('Collision Data-Storm '!B$8*$E95*1*365)/1000000)</f>
        <v>#DIV/0!</v>
      </c>
      <c r="G95" s="105" t="e">
        <f>(('Collision Data-Storm '!C$8*$E95*1*365)/1000000)</f>
        <v>#DIV/0!</v>
      </c>
      <c r="H95" s="107" t="e">
        <f>(('Collision Data-Storm '!D$8*$E95*1*365)/1000000)</f>
        <v>#DIV/0!</v>
      </c>
      <c r="I95" s="135">
        <v>0</v>
      </c>
      <c r="J95" s="124">
        <v>0</v>
      </c>
      <c r="K95" s="123">
        <v>0</v>
      </c>
      <c r="L95" s="149">
        <f>I95*'Parameters-Storm'!$D$28*'Collision Data-Storm '!$E$9</f>
        <v>0</v>
      </c>
      <c r="M95" s="144">
        <f>J95*'Parameters-Storm'!$D$23*'Collision Data-Storm '!$E$10</f>
        <v>0</v>
      </c>
      <c r="N95" s="161">
        <f>K95*'Parameters-Storm'!$D$24*'Collision Data-Storm '!$E$10</f>
        <v>0</v>
      </c>
      <c r="O95" s="6"/>
      <c r="P95" s="6"/>
    </row>
    <row r="96" spans="2:16" hidden="1" x14ac:dyDescent="0.25">
      <c r="B96" s="96">
        <v>2027</v>
      </c>
      <c r="C96" s="92">
        <v>1</v>
      </c>
      <c r="D96" s="140">
        <v>7</v>
      </c>
      <c r="E96" s="129">
        <f>'Collision Data-Storm '!M69</f>
        <v>0</v>
      </c>
      <c r="F96" s="133" t="e">
        <f>(('Collision Data-Storm '!B$8*$E96*1*365)/1000000)</f>
        <v>#DIV/0!</v>
      </c>
      <c r="G96" s="125" t="e">
        <f>(('Collision Data-Storm '!C$8*$E96*1*365)/1000000)</f>
        <v>#DIV/0!</v>
      </c>
      <c r="H96" s="134" t="e">
        <f>(('Collision Data-Storm '!D$8*$E96*1*365)/1000000)</f>
        <v>#DIV/0!</v>
      </c>
      <c r="I96" s="133" t="e">
        <f>F96-(F96*'Collision Data-Storm '!$B$19)</f>
        <v>#DIV/0!</v>
      </c>
      <c r="J96" s="125" t="e">
        <f>G96-(G96*'Collision Data-Storm '!$B$19)</f>
        <v>#DIV/0!</v>
      </c>
      <c r="K96" s="134" t="e">
        <f>H96-(H96*'Collision Data-Storm '!$B$19)</f>
        <v>#DIV/0!</v>
      </c>
      <c r="L96" s="150" t="e">
        <f>I96*'Parameters-Storm'!$D$28*'Collision Data-Storm '!$E$9</f>
        <v>#DIV/0!</v>
      </c>
      <c r="M96" s="145" t="e">
        <f>J96*'Parameters-Storm'!$D$23*'Collision Data-Storm '!$E$10</f>
        <v>#DIV/0!</v>
      </c>
      <c r="N96" s="162" t="e">
        <f>K96*'Parameters-Storm'!$D$24*'Collision Data-Storm '!$E$10</f>
        <v>#DIV/0!</v>
      </c>
      <c r="O96" s="6"/>
      <c r="P96" s="6"/>
    </row>
    <row r="97" spans="2:16" hidden="1" x14ac:dyDescent="0.25">
      <c r="B97" s="97">
        <v>2028</v>
      </c>
      <c r="C97" s="93">
        <v>2</v>
      </c>
      <c r="D97" s="141">
        <v>8</v>
      </c>
      <c r="E97" s="130">
        <f t="shared" ref="E97:E126" si="11">$E$96*(1+0.005)^(B97-$B$96)</f>
        <v>0</v>
      </c>
      <c r="F97" s="136" t="e">
        <f>(('Collision Data-Storm '!B$8*$E97*1*365)/1000000)</f>
        <v>#DIV/0!</v>
      </c>
      <c r="G97" s="126" t="e">
        <f>(('Collision Data-Storm '!C$8*$E97*1*365)/1000000)</f>
        <v>#DIV/0!</v>
      </c>
      <c r="H97" s="159" t="e">
        <f>(('Collision Data-Storm '!D$8*$E97*1*365)/1000000)</f>
        <v>#DIV/0!</v>
      </c>
      <c r="I97" s="136" t="e">
        <f>F97-(F97*'Collision Data-Storm '!$B$19)</f>
        <v>#DIV/0!</v>
      </c>
      <c r="J97" s="126" t="e">
        <f>G97-(G97*'Collision Data-Storm '!$B$19)</f>
        <v>#DIV/0!</v>
      </c>
      <c r="K97" s="159" t="e">
        <f>H97-(H97*'Collision Data-Storm '!$B$19)</f>
        <v>#DIV/0!</v>
      </c>
      <c r="L97" s="151" t="e">
        <f>I97*'Parameters-Storm'!$D$28*'Collision Data-Storm '!$E$9</f>
        <v>#DIV/0!</v>
      </c>
      <c r="M97" s="146" t="e">
        <f>J97*'Parameters-Storm'!$D$23*'Collision Data-Storm '!$E$10</f>
        <v>#DIV/0!</v>
      </c>
      <c r="N97" s="157" t="e">
        <f>K97*'Parameters-Storm'!$D$24*'Collision Data-Storm '!$E$10</f>
        <v>#DIV/0!</v>
      </c>
      <c r="O97" s="6"/>
      <c r="P97" s="6"/>
    </row>
    <row r="98" spans="2:16" hidden="1" x14ac:dyDescent="0.25">
      <c r="B98" s="98">
        <v>2029</v>
      </c>
      <c r="C98" s="94">
        <v>3</v>
      </c>
      <c r="D98" s="142">
        <v>9</v>
      </c>
      <c r="E98" s="130">
        <f t="shared" si="11"/>
        <v>0</v>
      </c>
      <c r="F98" s="136" t="e">
        <f>(('Collision Data-Storm '!B$8*$E98*1*365)/1000000)</f>
        <v>#DIV/0!</v>
      </c>
      <c r="G98" s="126" t="e">
        <f>(('Collision Data-Storm '!C$8*$E98*1*365)/1000000)</f>
        <v>#DIV/0!</v>
      </c>
      <c r="H98" s="159" t="e">
        <f>(('Collision Data-Storm '!D$8*$E98*1*365)/1000000)</f>
        <v>#DIV/0!</v>
      </c>
      <c r="I98" s="136" t="e">
        <f>F98-(F98*'Collision Data-Storm '!$B$19)</f>
        <v>#DIV/0!</v>
      </c>
      <c r="J98" s="126" t="e">
        <f>G98-(G98*'Collision Data-Storm '!$B$19)</f>
        <v>#DIV/0!</v>
      </c>
      <c r="K98" s="159" t="e">
        <f>H98-(H98*'Collision Data-Storm '!$B$19)</f>
        <v>#DIV/0!</v>
      </c>
      <c r="L98" s="151" t="e">
        <f>I98*'Parameters-Storm'!$D$28*'Collision Data-Storm '!$E$9</f>
        <v>#DIV/0!</v>
      </c>
      <c r="M98" s="146" t="e">
        <f>J98*'Parameters-Storm'!$D$23*'Collision Data-Storm '!$E$10</f>
        <v>#DIV/0!</v>
      </c>
      <c r="N98" s="157" t="e">
        <f>K98*'Parameters-Storm'!$D$24*'Collision Data-Storm '!$E$10</f>
        <v>#DIV/0!</v>
      </c>
      <c r="O98" s="6"/>
      <c r="P98" s="6"/>
    </row>
    <row r="99" spans="2:16" hidden="1" x14ac:dyDescent="0.25">
      <c r="B99" s="97">
        <v>2030</v>
      </c>
      <c r="C99" s="94">
        <v>4</v>
      </c>
      <c r="D99" s="142">
        <v>10</v>
      </c>
      <c r="E99" s="130">
        <f t="shared" si="11"/>
        <v>0</v>
      </c>
      <c r="F99" s="136" t="e">
        <f>(('Collision Data-Storm '!B$8*$E99*1*365)/1000000)</f>
        <v>#DIV/0!</v>
      </c>
      <c r="G99" s="126" t="e">
        <f>(('Collision Data-Storm '!C$8*$E99*1*365)/1000000)</f>
        <v>#DIV/0!</v>
      </c>
      <c r="H99" s="159" t="e">
        <f>(('Collision Data-Storm '!D$8*$E99*1*365)/1000000)</f>
        <v>#DIV/0!</v>
      </c>
      <c r="I99" s="136" t="e">
        <f>F99-(F99*'Collision Data-Storm '!$B$19)</f>
        <v>#DIV/0!</v>
      </c>
      <c r="J99" s="126" t="e">
        <f>G99-(G99*'Collision Data-Storm '!$B$19)</f>
        <v>#DIV/0!</v>
      </c>
      <c r="K99" s="159" t="e">
        <f>H99-(H99*'Collision Data-Storm '!$B$19)</f>
        <v>#DIV/0!</v>
      </c>
      <c r="L99" s="151" t="e">
        <f>I99*'Parameters-Storm'!$D$28*'Collision Data-Storm '!$E$9</f>
        <v>#DIV/0!</v>
      </c>
      <c r="M99" s="146" t="e">
        <f>J99*'Parameters-Storm'!$D$23*'Collision Data-Storm '!$E$10</f>
        <v>#DIV/0!</v>
      </c>
      <c r="N99" s="157" t="e">
        <f>K99*'Parameters-Storm'!$D$24*'Collision Data-Storm '!$E$10</f>
        <v>#DIV/0!</v>
      </c>
      <c r="O99" s="6"/>
      <c r="P99" s="6"/>
    </row>
    <row r="100" spans="2:16" hidden="1" x14ac:dyDescent="0.25">
      <c r="B100" s="98">
        <v>2031</v>
      </c>
      <c r="C100" s="94">
        <v>5</v>
      </c>
      <c r="D100" s="142">
        <v>11</v>
      </c>
      <c r="E100" s="130">
        <f t="shared" si="11"/>
        <v>0</v>
      </c>
      <c r="F100" s="136" t="e">
        <f>(('Collision Data-Storm '!B$8*$E100*1*365)/1000000)</f>
        <v>#DIV/0!</v>
      </c>
      <c r="G100" s="126" t="e">
        <f>(('Collision Data-Storm '!C$8*$E100*1*365)/1000000)</f>
        <v>#DIV/0!</v>
      </c>
      <c r="H100" s="159" t="e">
        <f>(('Collision Data-Storm '!D$8*$E100*1*365)/1000000)</f>
        <v>#DIV/0!</v>
      </c>
      <c r="I100" s="136" t="e">
        <f>F100-(F100*'Collision Data-Storm '!$B$19)</f>
        <v>#DIV/0!</v>
      </c>
      <c r="J100" s="126" t="e">
        <f>G100-(G100*'Collision Data-Storm '!$B$19)</f>
        <v>#DIV/0!</v>
      </c>
      <c r="K100" s="159" t="e">
        <f>H100-(H100*'Collision Data-Storm '!$B$19)</f>
        <v>#DIV/0!</v>
      </c>
      <c r="L100" s="151" t="e">
        <f>I100*'Parameters-Storm'!$D$28*'Collision Data-Storm '!$E$9</f>
        <v>#DIV/0!</v>
      </c>
      <c r="M100" s="146" t="e">
        <f>J100*'Parameters-Storm'!$D$23*'Collision Data-Storm '!$E$10</f>
        <v>#DIV/0!</v>
      </c>
      <c r="N100" s="157" t="e">
        <f>K100*'Parameters-Storm'!$D$24*'Collision Data-Storm '!$E$10</f>
        <v>#DIV/0!</v>
      </c>
      <c r="O100" s="6"/>
      <c r="P100" s="6"/>
    </row>
    <row r="101" spans="2:16" hidden="1" x14ac:dyDescent="0.25">
      <c r="B101" s="97">
        <v>2032</v>
      </c>
      <c r="C101" s="94">
        <v>6</v>
      </c>
      <c r="D101" s="142">
        <v>12</v>
      </c>
      <c r="E101" s="130">
        <f t="shared" si="11"/>
        <v>0</v>
      </c>
      <c r="F101" s="136" t="e">
        <f>(('Collision Data-Storm '!B$8*$E101*1*365)/1000000)</f>
        <v>#DIV/0!</v>
      </c>
      <c r="G101" s="126" t="e">
        <f>(('Collision Data-Storm '!C$8*$E101*1*365)/1000000)</f>
        <v>#DIV/0!</v>
      </c>
      <c r="H101" s="159" t="e">
        <f>(('Collision Data-Storm '!D$8*$E101*1*365)/1000000)</f>
        <v>#DIV/0!</v>
      </c>
      <c r="I101" s="136" t="e">
        <f>F101-(F101*'Collision Data-Storm '!$B$19)</f>
        <v>#DIV/0!</v>
      </c>
      <c r="J101" s="126" t="e">
        <f>G101-(G101*'Collision Data-Storm '!$B$19)</f>
        <v>#DIV/0!</v>
      </c>
      <c r="K101" s="159" t="e">
        <f>H101-(H101*'Collision Data-Storm '!$B$19)</f>
        <v>#DIV/0!</v>
      </c>
      <c r="L101" s="151" t="e">
        <f>I101*'Parameters-Storm'!$D$28*'Collision Data-Storm '!$E$9</f>
        <v>#DIV/0!</v>
      </c>
      <c r="M101" s="146" t="e">
        <f>J101*'Parameters-Storm'!$D$23*'Collision Data-Storm '!$E$10</f>
        <v>#DIV/0!</v>
      </c>
      <c r="N101" s="157" t="e">
        <f>K101*'Parameters-Storm'!$D$24*'Collision Data-Storm '!$E$10</f>
        <v>#DIV/0!</v>
      </c>
      <c r="O101" s="6"/>
      <c r="P101" s="6"/>
    </row>
    <row r="102" spans="2:16" hidden="1" x14ac:dyDescent="0.25">
      <c r="B102" s="98">
        <v>2033</v>
      </c>
      <c r="C102" s="94">
        <v>7</v>
      </c>
      <c r="D102" s="142">
        <v>13</v>
      </c>
      <c r="E102" s="130">
        <f t="shared" si="11"/>
        <v>0</v>
      </c>
      <c r="F102" s="136" t="e">
        <f>(('Collision Data-Storm '!B$8*$E102*1*365)/1000000)</f>
        <v>#DIV/0!</v>
      </c>
      <c r="G102" s="126" t="e">
        <f>(('Collision Data-Storm '!C$8*$E102*1*365)/1000000)</f>
        <v>#DIV/0!</v>
      </c>
      <c r="H102" s="159" t="e">
        <f>(('Collision Data-Storm '!D$8*$E102*1*365)/1000000)</f>
        <v>#DIV/0!</v>
      </c>
      <c r="I102" s="136" t="e">
        <f>F102-(F102*'Collision Data-Storm '!$B$19)</f>
        <v>#DIV/0!</v>
      </c>
      <c r="J102" s="126" t="e">
        <f>G102-(G102*'Collision Data-Storm '!$B$19)</f>
        <v>#DIV/0!</v>
      </c>
      <c r="K102" s="159" t="e">
        <f>H102-(H102*'Collision Data-Storm '!$B$19)</f>
        <v>#DIV/0!</v>
      </c>
      <c r="L102" s="151" t="e">
        <f>I102*'Parameters-Storm'!$D$28*'Collision Data-Storm '!$E$9</f>
        <v>#DIV/0!</v>
      </c>
      <c r="M102" s="146" t="e">
        <f>J102*'Parameters-Storm'!$D$23*'Collision Data-Storm '!$E$10</f>
        <v>#DIV/0!</v>
      </c>
      <c r="N102" s="157" t="e">
        <f>K102*'Parameters-Storm'!$D$24*'Collision Data-Storm '!$E$10</f>
        <v>#DIV/0!</v>
      </c>
      <c r="O102" s="6"/>
      <c r="P102" s="6"/>
    </row>
    <row r="103" spans="2:16" hidden="1" x14ac:dyDescent="0.25">
      <c r="B103" s="97">
        <v>2034</v>
      </c>
      <c r="C103" s="94">
        <v>8</v>
      </c>
      <c r="D103" s="142">
        <v>14</v>
      </c>
      <c r="E103" s="130">
        <f t="shared" si="11"/>
        <v>0</v>
      </c>
      <c r="F103" s="136" t="e">
        <f>(('Collision Data-Storm '!B$8*$E103*1*365)/1000000)</f>
        <v>#DIV/0!</v>
      </c>
      <c r="G103" s="126" t="e">
        <f>(('Collision Data-Storm '!C$8*$E103*1*365)/1000000)</f>
        <v>#DIV/0!</v>
      </c>
      <c r="H103" s="159" t="e">
        <f>(('Collision Data-Storm '!D$8*$E103*1*365)/1000000)</f>
        <v>#DIV/0!</v>
      </c>
      <c r="I103" s="136" t="e">
        <f>F103-(F103*'Collision Data-Storm '!$B$19)</f>
        <v>#DIV/0!</v>
      </c>
      <c r="J103" s="126" t="e">
        <f>G103-(G103*'Collision Data-Storm '!$B$19)</f>
        <v>#DIV/0!</v>
      </c>
      <c r="K103" s="159" t="e">
        <f>H103-(H103*'Collision Data-Storm '!$B$19)</f>
        <v>#DIV/0!</v>
      </c>
      <c r="L103" s="151" t="e">
        <f>I103*'Parameters-Storm'!$D$28*'Collision Data-Storm '!$E$9</f>
        <v>#DIV/0!</v>
      </c>
      <c r="M103" s="146" t="e">
        <f>J103*'Parameters-Storm'!$D$23*'Collision Data-Storm '!$E$10</f>
        <v>#DIV/0!</v>
      </c>
      <c r="N103" s="157" t="e">
        <f>K103*'Parameters-Storm'!$D$24*'Collision Data-Storm '!$E$10</f>
        <v>#DIV/0!</v>
      </c>
      <c r="O103" s="6"/>
      <c r="P103" s="6"/>
    </row>
    <row r="104" spans="2:16" hidden="1" x14ac:dyDescent="0.25">
      <c r="B104" s="98">
        <v>2035</v>
      </c>
      <c r="C104" s="94">
        <v>9</v>
      </c>
      <c r="D104" s="142">
        <v>15</v>
      </c>
      <c r="E104" s="130">
        <f t="shared" si="11"/>
        <v>0</v>
      </c>
      <c r="F104" s="136" t="e">
        <f>(('Collision Data-Storm '!B$8*$E104*1*365)/1000000)</f>
        <v>#DIV/0!</v>
      </c>
      <c r="G104" s="126" t="e">
        <f>(('Collision Data-Storm '!C$8*$E104*1*365)/1000000)</f>
        <v>#DIV/0!</v>
      </c>
      <c r="H104" s="159" t="e">
        <f>(('Collision Data-Storm '!D$8*$E104*1*365)/1000000)</f>
        <v>#DIV/0!</v>
      </c>
      <c r="I104" s="136" t="e">
        <f>F104-(F104*'Collision Data-Storm '!$B$19)</f>
        <v>#DIV/0!</v>
      </c>
      <c r="J104" s="126" t="e">
        <f>G104-(G104*'Collision Data-Storm '!$B$19)</f>
        <v>#DIV/0!</v>
      </c>
      <c r="K104" s="159" t="e">
        <f>H104-(H104*'Collision Data-Storm '!$B$19)</f>
        <v>#DIV/0!</v>
      </c>
      <c r="L104" s="151" t="e">
        <f>I104*'Parameters-Storm'!$D$28*'Collision Data-Storm '!$E$9</f>
        <v>#DIV/0!</v>
      </c>
      <c r="M104" s="146" t="e">
        <f>J104*'Parameters-Storm'!$D$23*'Collision Data-Storm '!$E$10</f>
        <v>#DIV/0!</v>
      </c>
      <c r="N104" s="157" t="e">
        <f>K104*'Parameters-Storm'!$D$24*'Collision Data-Storm '!$E$10</f>
        <v>#DIV/0!</v>
      </c>
      <c r="O104" s="6"/>
      <c r="P104" s="6"/>
    </row>
    <row r="105" spans="2:16" hidden="1" x14ac:dyDescent="0.25">
      <c r="B105" s="97">
        <v>2036</v>
      </c>
      <c r="C105" s="94">
        <v>10</v>
      </c>
      <c r="D105" s="142">
        <v>16</v>
      </c>
      <c r="E105" s="130">
        <f t="shared" si="11"/>
        <v>0</v>
      </c>
      <c r="F105" s="136" t="e">
        <f>(('Collision Data-Storm '!B$8*$E105*1*365)/1000000)</f>
        <v>#DIV/0!</v>
      </c>
      <c r="G105" s="126" t="e">
        <f>(('Collision Data-Storm '!C$8*$E105*1*365)/1000000)</f>
        <v>#DIV/0!</v>
      </c>
      <c r="H105" s="159" t="e">
        <f>(('Collision Data-Storm '!D$8*$E105*1*365)/1000000)</f>
        <v>#DIV/0!</v>
      </c>
      <c r="I105" s="136" t="e">
        <f>F105-(F105*'Collision Data-Storm '!$B$19)</f>
        <v>#DIV/0!</v>
      </c>
      <c r="J105" s="126" t="e">
        <f>G105-(G105*'Collision Data-Storm '!$B$19)</f>
        <v>#DIV/0!</v>
      </c>
      <c r="K105" s="159" t="e">
        <f>H105-(H105*'Collision Data-Storm '!$B$19)</f>
        <v>#DIV/0!</v>
      </c>
      <c r="L105" s="151" t="e">
        <f>I105*'Parameters-Storm'!$D$28*'Collision Data-Storm '!$E$9</f>
        <v>#DIV/0!</v>
      </c>
      <c r="M105" s="146" t="e">
        <f>J105*'Parameters-Storm'!$D$23*'Collision Data-Storm '!$E$10</f>
        <v>#DIV/0!</v>
      </c>
      <c r="N105" s="157" t="e">
        <f>K105*'Parameters-Storm'!$D$24*'Collision Data-Storm '!$E$10</f>
        <v>#DIV/0!</v>
      </c>
      <c r="O105" s="6"/>
      <c r="P105" s="6"/>
    </row>
    <row r="106" spans="2:16" hidden="1" x14ac:dyDescent="0.25">
      <c r="B106" s="98">
        <v>2037</v>
      </c>
      <c r="C106" s="94">
        <v>11</v>
      </c>
      <c r="D106" s="142">
        <v>17</v>
      </c>
      <c r="E106" s="130">
        <f t="shared" si="11"/>
        <v>0</v>
      </c>
      <c r="F106" s="136" t="e">
        <f>(('Collision Data-Storm '!B$8*$E106*1*365)/1000000)</f>
        <v>#DIV/0!</v>
      </c>
      <c r="G106" s="126" t="e">
        <f>(('Collision Data-Storm '!C$8*$E106*1*365)/1000000)</f>
        <v>#DIV/0!</v>
      </c>
      <c r="H106" s="159" t="e">
        <f>(('Collision Data-Storm '!D$8*$E106*1*365)/1000000)</f>
        <v>#DIV/0!</v>
      </c>
      <c r="I106" s="136" t="e">
        <f>F106-(F106*'Collision Data-Storm '!$B$19)</f>
        <v>#DIV/0!</v>
      </c>
      <c r="J106" s="126" t="e">
        <f>G106-(G106*'Collision Data-Storm '!$B$19)</f>
        <v>#DIV/0!</v>
      </c>
      <c r="K106" s="159" t="e">
        <f>H106-(H106*'Collision Data-Storm '!$B$19)</f>
        <v>#DIV/0!</v>
      </c>
      <c r="L106" s="151" t="e">
        <f>I106*'Parameters-Storm'!$D$28*'Collision Data-Storm '!$E$9</f>
        <v>#DIV/0!</v>
      </c>
      <c r="M106" s="146" t="e">
        <f>J106*'Parameters-Storm'!$D$23*'Collision Data-Storm '!$E$10</f>
        <v>#DIV/0!</v>
      </c>
      <c r="N106" s="157" t="e">
        <f>K106*'Parameters-Storm'!$D$24*'Collision Data-Storm '!$E$10</f>
        <v>#DIV/0!</v>
      </c>
      <c r="O106" s="6"/>
      <c r="P106" s="6"/>
    </row>
    <row r="107" spans="2:16" hidden="1" x14ac:dyDescent="0.25">
      <c r="B107" s="97">
        <v>2038</v>
      </c>
      <c r="C107" s="94">
        <v>12</v>
      </c>
      <c r="D107" s="142">
        <v>18</v>
      </c>
      <c r="E107" s="130">
        <f t="shared" si="11"/>
        <v>0</v>
      </c>
      <c r="F107" s="136" t="e">
        <f>(('Collision Data-Storm '!B$8*$E107*1*365)/1000000)</f>
        <v>#DIV/0!</v>
      </c>
      <c r="G107" s="126" t="e">
        <f>(('Collision Data-Storm '!C$8*$E107*1*365)/1000000)</f>
        <v>#DIV/0!</v>
      </c>
      <c r="H107" s="159" t="e">
        <f>(('Collision Data-Storm '!D$8*$E107*1*365)/1000000)</f>
        <v>#DIV/0!</v>
      </c>
      <c r="I107" s="136" t="e">
        <f>F107-(F107*'Collision Data-Storm '!$B$19)</f>
        <v>#DIV/0!</v>
      </c>
      <c r="J107" s="126" t="e">
        <f>G107-(G107*'Collision Data-Storm '!$B$19)</f>
        <v>#DIV/0!</v>
      </c>
      <c r="K107" s="159" t="e">
        <f>H107-(H107*'Collision Data-Storm '!$B$19)</f>
        <v>#DIV/0!</v>
      </c>
      <c r="L107" s="151" t="e">
        <f>I107*'Parameters-Storm'!$D$28*'Collision Data-Storm '!$E$9</f>
        <v>#DIV/0!</v>
      </c>
      <c r="M107" s="146" t="e">
        <f>J107*'Parameters-Storm'!$D$23*'Collision Data-Storm '!$E$10</f>
        <v>#DIV/0!</v>
      </c>
      <c r="N107" s="157" t="e">
        <f>K107*'Parameters-Storm'!$D$24*'Collision Data-Storm '!$E$10</f>
        <v>#DIV/0!</v>
      </c>
      <c r="O107" s="6"/>
      <c r="P107" s="6"/>
    </row>
    <row r="108" spans="2:16" hidden="1" x14ac:dyDescent="0.25">
      <c r="B108" s="98">
        <v>2039</v>
      </c>
      <c r="C108" s="94">
        <v>13</v>
      </c>
      <c r="D108" s="142">
        <v>19</v>
      </c>
      <c r="E108" s="130">
        <f t="shared" si="11"/>
        <v>0</v>
      </c>
      <c r="F108" s="136" t="e">
        <f>(('Collision Data-Storm '!B$8*$E108*1*365)/1000000)</f>
        <v>#DIV/0!</v>
      </c>
      <c r="G108" s="126" t="e">
        <f>(('Collision Data-Storm '!C$8*$E108*1*365)/1000000)</f>
        <v>#DIV/0!</v>
      </c>
      <c r="H108" s="159" t="e">
        <f>(('Collision Data-Storm '!D$8*$E108*1*365)/1000000)</f>
        <v>#DIV/0!</v>
      </c>
      <c r="I108" s="136" t="e">
        <f>F108-(F108*'Collision Data-Storm '!$B$19)</f>
        <v>#DIV/0!</v>
      </c>
      <c r="J108" s="126" t="e">
        <f>G108-(G108*'Collision Data-Storm '!$B$19)</f>
        <v>#DIV/0!</v>
      </c>
      <c r="K108" s="159" t="e">
        <f>H108-(H108*'Collision Data-Storm '!$B$19)</f>
        <v>#DIV/0!</v>
      </c>
      <c r="L108" s="151" t="e">
        <f>I108*'Parameters-Storm'!$D$28*'Collision Data-Storm '!$E$9</f>
        <v>#DIV/0!</v>
      </c>
      <c r="M108" s="146" t="e">
        <f>J108*'Parameters-Storm'!$D$23*'Collision Data-Storm '!$E$10</f>
        <v>#DIV/0!</v>
      </c>
      <c r="N108" s="157" t="e">
        <f>K108*'Parameters-Storm'!$D$24*'Collision Data-Storm '!$E$10</f>
        <v>#DIV/0!</v>
      </c>
      <c r="O108" s="6"/>
      <c r="P108" s="6"/>
    </row>
    <row r="109" spans="2:16" hidden="1" x14ac:dyDescent="0.25">
      <c r="B109" s="97">
        <v>2040</v>
      </c>
      <c r="C109" s="94">
        <v>14</v>
      </c>
      <c r="D109" s="142">
        <v>20</v>
      </c>
      <c r="E109" s="130">
        <f t="shared" si="11"/>
        <v>0</v>
      </c>
      <c r="F109" s="136" t="e">
        <f>(('Collision Data-Storm '!B$8*$E109*1*365)/1000000)</f>
        <v>#DIV/0!</v>
      </c>
      <c r="G109" s="126" t="e">
        <f>(('Collision Data-Storm '!C$8*$E109*1*365)/1000000)</f>
        <v>#DIV/0!</v>
      </c>
      <c r="H109" s="159" t="e">
        <f>(('Collision Data-Storm '!D$8*$E109*1*365)/1000000)</f>
        <v>#DIV/0!</v>
      </c>
      <c r="I109" s="136" t="e">
        <f>F109-(F109*'Collision Data-Storm '!$B$19)</f>
        <v>#DIV/0!</v>
      </c>
      <c r="J109" s="126" t="e">
        <f>G109-(G109*'Collision Data-Storm '!$B$19)</f>
        <v>#DIV/0!</v>
      </c>
      <c r="K109" s="159" t="e">
        <f>H109-(H109*'Collision Data-Storm '!$B$19)</f>
        <v>#DIV/0!</v>
      </c>
      <c r="L109" s="151" t="e">
        <f>I109*'Parameters-Storm'!$D$28*'Collision Data-Storm '!$E$9</f>
        <v>#DIV/0!</v>
      </c>
      <c r="M109" s="146" t="e">
        <f>J109*'Parameters-Storm'!$D$23*'Collision Data-Storm '!$E$10</f>
        <v>#DIV/0!</v>
      </c>
      <c r="N109" s="157" t="e">
        <f>K109*'Parameters-Storm'!$D$24*'Collision Data-Storm '!$E$10</f>
        <v>#DIV/0!</v>
      </c>
      <c r="O109" s="6"/>
      <c r="P109" s="6"/>
    </row>
    <row r="110" spans="2:16" hidden="1" x14ac:dyDescent="0.25">
      <c r="B110" s="98">
        <v>2041</v>
      </c>
      <c r="C110" s="94">
        <v>15</v>
      </c>
      <c r="D110" s="142">
        <v>21</v>
      </c>
      <c r="E110" s="130">
        <f t="shared" si="11"/>
        <v>0</v>
      </c>
      <c r="F110" s="136" t="e">
        <f>(('Collision Data-Storm '!B$8*$E110*1*365)/1000000)</f>
        <v>#DIV/0!</v>
      </c>
      <c r="G110" s="126" t="e">
        <f>(('Collision Data-Storm '!C$8*$E110*1*365)/1000000)</f>
        <v>#DIV/0!</v>
      </c>
      <c r="H110" s="159" t="e">
        <f>(('Collision Data-Storm '!D$8*$E110*1*365)/1000000)</f>
        <v>#DIV/0!</v>
      </c>
      <c r="I110" s="136" t="e">
        <f>F110-(F110*'Collision Data-Storm '!$B$19)</f>
        <v>#DIV/0!</v>
      </c>
      <c r="J110" s="126" t="e">
        <f>G110-(G110*'Collision Data-Storm '!$B$19)</f>
        <v>#DIV/0!</v>
      </c>
      <c r="K110" s="159" t="e">
        <f>H110-(H110*'Collision Data-Storm '!$B$19)</f>
        <v>#DIV/0!</v>
      </c>
      <c r="L110" s="151" t="e">
        <f>I110*'Parameters-Storm'!$D$28*'Collision Data-Storm '!$E$9</f>
        <v>#DIV/0!</v>
      </c>
      <c r="M110" s="146" t="e">
        <f>J110*'Parameters-Storm'!$D$23*'Collision Data-Storm '!$E$10</f>
        <v>#DIV/0!</v>
      </c>
      <c r="N110" s="157" t="e">
        <f>K110*'Parameters-Storm'!$D$24*'Collision Data-Storm '!$E$10</f>
        <v>#DIV/0!</v>
      </c>
      <c r="O110" s="6"/>
      <c r="P110" s="6"/>
    </row>
    <row r="111" spans="2:16" hidden="1" x14ac:dyDescent="0.25">
      <c r="B111" s="97">
        <v>2042</v>
      </c>
      <c r="C111" s="94">
        <v>16</v>
      </c>
      <c r="D111" s="142">
        <v>22</v>
      </c>
      <c r="E111" s="130">
        <f t="shared" si="11"/>
        <v>0</v>
      </c>
      <c r="F111" s="136" t="e">
        <f>(('Collision Data-Storm '!B$8*$E111*1*365)/1000000)</f>
        <v>#DIV/0!</v>
      </c>
      <c r="G111" s="126" t="e">
        <f>(('Collision Data-Storm '!C$8*$E111*1*365)/1000000)</f>
        <v>#DIV/0!</v>
      </c>
      <c r="H111" s="159" t="e">
        <f>(('Collision Data-Storm '!D$8*$E111*1*365)/1000000)</f>
        <v>#DIV/0!</v>
      </c>
      <c r="I111" s="136" t="e">
        <f>F111-(F111*'Collision Data-Storm '!$B$19)</f>
        <v>#DIV/0!</v>
      </c>
      <c r="J111" s="126" t="e">
        <f>G111-(G111*'Collision Data-Storm '!$B$19)</f>
        <v>#DIV/0!</v>
      </c>
      <c r="K111" s="159" t="e">
        <f>H111-(H111*'Collision Data-Storm '!$B$19)</f>
        <v>#DIV/0!</v>
      </c>
      <c r="L111" s="151" t="e">
        <f>I111*'Parameters-Storm'!$D$28*'Collision Data-Storm '!$E$9</f>
        <v>#DIV/0!</v>
      </c>
      <c r="M111" s="146" t="e">
        <f>J111*'Parameters-Storm'!$D$23*'Collision Data-Storm '!$E$10</f>
        <v>#DIV/0!</v>
      </c>
      <c r="N111" s="157" t="e">
        <f>K111*'Parameters-Storm'!$D$24*'Collision Data-Storm '!$E$10</f>
        <v>#DIV/0!</v>
      </c>
      <c r="O111" s="6"/>
      <c r="P111" s="6"/>
    </row>
    <row r="112" spans="2:16" hidden="1" x14ac:dyDescent="0.25">
      <c r="B112" s="98">
        <v>2043</v>
      </c>
      <c r="C112" s="94">
        <v>17</v>
      </c>
      <c r="D112" s="142">
        <v>23</v>
      </c>
      <c r="E112" s="130">
        <f t="shared" si="11"/>
        <v>0</v>
      </c>
      <c r="F112" s="136" t="e">
        <f>(('Collision Data-Storm '!B$8*$E112*1*365)/1000000)</f>
        <v>#DIV/0!</v>
      </c>
      <c r="G112" s="126" t="e">
        <f>(('Collision Data-Storm '!C$8*$E112*1*365)/1000000)</f>
        <v>#DIV/0!</v>
      </c>
      <c r="H112" s="159" t="e">
        <f>(('Collision Data-Storm '!D$8*$E112*1*365)/1000000)</f>
        <v>#DIV/0!</v>
      </c>
      <c r="I112" s="136" t="e">
        <f>F112-(F112*'Collision Data-Storm '!$B$19)</f>
        <v>#DIV/0!</v>
      </c>
      <c r="J112" s="126" t="e">
        <f>G112-(G112*'Collision Data-Storm '!$B$19)</f>
        <v>#DIV/0!</v>
      </c>
      <c r="K112" s="159" t="e">
        <f>H112-(H112*'Collision Data-Storm '!$B$19)</f>
        <v>#DIV/0!</v>
      </c>
      <c r="L112" s="151" t="e">
        <f>I112*'Parameters-Storm'!$D$28*'Collision Data-Storm '!$E$9</f>
        <v>#DIV/0!</v>
      </c>
      <c r="M112" s="146" t="e">
        <f>J112*'Parameters-Storm'!$D$23*'Collision Data-Storm '!$E$10</f>
        <v>#DIV/0!</v>
      </c>
      <c r="N112" s="157" t="e">
        <f>K112*'Parameters-Storm'!$D$24*'Collision Data-Storm '!$E$10</f>
        <v>#DIV/0!</v>
      </c>
      <c r="O112" s="6"/>
      <c r="P112" s="6"/>
    </row>
    <row r="113" spans="2:16" hidden="1" x14ac:dyDescent="0.25">
      <c r="B113" s="97">
        <v>2044</v>
      </c>
      <c r="C113" s="94">
        <v>18</v>
      </c>
      <c r="D113" s="142">
        <v>24</v>
      </c>
      <c r="E113" s="130">
        <f t="shared" si="11"/>
        <v>0</v>
      </c>
      <c r="F113" s="136" t="e">
        <f>(('Collision Data-Storm '!B$8*$E113*1*365)/1000000)</f>
        <v>#DIV/0!</v>
      </c>
      <c r="G113" s="126" t="e">
        <f>(('Collision Data-Storm '!C$8*$E113*1*365)/1000000)</f>
        <v>#DIV/0!</v>
      </c>
      <c r="H113" s="159" t="e">
        <f>(('Collision Data-Storm '!D$8*$E113*1*365)/1000000)</f>
        <v>#DIV/0!</v>
      </c>
      <c r="I113" s="136" t="e">
        <f>F113-(F113*'Collision Data-Storm '!$B$19)</f>
        <v>#DIV/0!</v>
      </c>
      <c r="J113" s="126" t="e">
        <f>G113-(G113*'Collision Data-Storm '!$B$19)</f>
        <v>#DIV/0!</v>
      </c>
      <c r="K113" s="159" t="e">
        <f>H113-(H113*'Collision Data-Storm '!$B$19)</f>
        <v>#DIV/0!</v>
      </c>
      <c r="L113" s="151" t="e">
        <f>I113*'Parameters-Storm'!$D$28*'Collision Data-Storm '!$E$9</f>
        <v>#DIV/0!</v>
      </c>
      <c r="M113" s="146" t="e">
        <f>J113*'Parameters-Storm'!$D$23*'Collision Data-Storm '!$E$10</f>
        <v>#DIV/0!</v>
      </c>
      <c r="N113" s="157" t="e">
        <f>K113*'Parameters-Storm'!$D$24*'Collision Data-Storm '!$E$10</f>
        <v>#DIV/0!</v>
      </c>
      <c r="O113" s="6"/>
      <c r="P113" s="6"/>
    </row>
    <row r="114" spans="2:16" hidden="1" x14ac:dyDescent="0.25">
      <c r="B114" s="98">
        <v>2045</v>
      </c>
      <c r="C114" s="94">
        <v>19</v>
      </c>
      <c r="D114" s="142">
        <v>25</v>
      </c>
      <c r="E114" s="130">
        <f t="shared" si="11"/>
        <v>0</v>
      </c>
      <c r="F114" s="136" t="e">
        <f>(('Collision Data-Storm '!B$8*$E114*1*365)/1000000)</f>
        <v>#DIV/0!</v>
      </c>
      <c r="G114" s="126" t="e">
        <f>(('Collision Data-Storm '!C$8*$E114*1*365)/1000000)</f>
        <v>#DIV/0!</v>
      </c>
      <c r="H114" s="159" t="e">
        <f>(('Collision Data-Storm '!D$8*$E114*1*365)/1000000)</f>
        <v>#DIV/0!</v>
      </c>
      <c r="I114" s="136" t="e">
        <f>F114-(F114*'Collision Data-Storm '!$B$19)</f>
        <v>#DIV/0!</v>
      </c>
      <c r="J114" s="126" t="e">
        <f>G114-(G114*'Collision Data-Storm '!$B$19)</f>
        <v>#DIV/0!</v>
      </c>
      <c r="K114" s="159" t="e">
        <f>H114-(H114*'Collision Data-Storm '!$B$19)</f>
        <v>#DIV/0!</v>
      </c>
      <c r="L114" s="151" t="e">
        <f>I114*'Parameters-Storm'!$D$28*'Collision Data-Storm '!$E$9</f>
        <v>#DIV/0!</v>
      </c>
      <c r="M114" s="146" t="e">
        <f>J114*'Parameters-Storm'!$D$23*'Collision Data-Storm '!$E$10</f>
        <v>#DIV/0!</v>
      </c>
      <c r="N114" s="157" t="e">
        <f>K114*'Parameters-Storm'!$D$24*'Collision Data-Storm '!$E$10</f>
        <v>#DIV/0!</v>
      </c>
      <c r="O114" s="6"/>
      <c r="P114" s="6"/>
    </row>
    <row r="115" spans="2:16" hidden="1" x14ac:dyDescent="0.25">
      <c r="B115" s="97">
        <v>2046</v>
      </c>
      <c r="C115" s="94">
        <v>20</v>
      </c>
      <c r="D115" s="142">
        <v>26</v>
      </c>
      <c r="E115" s="130">
        <f t="shared" si="11"/>
        <v>0</v>
      </c>
      <c r="F115" s="136" t="e">
        <f>(('Collision Data-Storm '!B$8*$E115*1*365)/1000000)</f>
        <v>#DIV/0!</v>
      </c>
      <c r="G115" s="126" t="e">
        <f>(('Collision Data-Storm '!C$8*$E115*1*365)/1000000)</f>
        <v>#DIV/0!</v>
      </c>
      <c r="H115" s="159" t="e">
        <f>(('Collision Data-Storm '!D$8*$E115*1*365)/1000000)</f>
        <v>#DIV/0!</v>
      </c>
      <c r="I115" s="136" t="e">
        <f>F115-(F115*'Collision Data-Storm '!$B$19)</f>
        <v>#DIV/0!</v>
      </c>
      <c r="J115" s="126" t="e">
        <f>G115-(G115*'Collision Data-Storm '!$B$19)</f>
        <v>#DIV/0!</v>
      </c>
      <c r="K115" s="159" t="e">
        <f>H115-(H115*'Collision Data-Storm '!$B$19)</f>
        <v>#DIV/0!</v>
      </c>
      <c r="L115" s="151" t="e">
        <f>I115*'Parameters-Storm'!$D$28*'Collision Data-Storm '!$E$9</f>
        <v>#DIV/0!</v>
      </c>
      <c r="M115" s="146" t="e">
        <f>J115*'Parameters-Storm'!$D$23*'Collision Data-Storm '!$E$10</f>
        <v>#DIV/0!</v>
      </c>
      <c r="N115" s="157" t="e">
        <f>K115*'Parameters-Storm'!$D$24*'Collision Data-Storm '!$E$10</f>
        <v>#DIV/0!</v>
      </c>
      <c r="O115" s="6"/>
      <c r="P115" s="6"/>
    </row>
    <row r="116" spans="2:16" hidden="1" x14ac:dyDescent="0.25">
      <c r="B116" s="96">
        <v>2047</v>
      </c>
      <c r="C116" s="92">
        <v>21</v>
      </c>
      <c r="D116" s="140">
        <v>27</v>
      </c>
      <c r="E116" s="129">
        <f t="shared" si="11"/>
        <v>0</v>
      </c>
      <c r="F116" s="133" t="e">
        <f>(('Collision Data-Storm '!B$8*$E116*1*365)/1000000)</f>
        <v>#DIV/0!</v>
      </c>
      <c r="G116" s="125" t="e">
        <f>(('Collision Data-Storm '!C$8*$E116*1*365)/1000000)</f>
        <v>#DIV/0!</v>
      </c>
      <c r="H116" s="134" t="e">
        <f>(('Collision Data-Storm '!D$8*$E116*1*365)/1000000)</f>
        <v>#DIV/0!</v>
      </c>
      <c r="I116" s="133" t="e">
        <f>F116-(F116*'Collision Data-Storm '!$B$19)</f>
        <v>#DIV/0!</v>
      </c>
      <c r="J116" s="125" t="e">
        <f>G116-(G116*'Collision Data-Storm '!$B$19)</f>
        <v>#DIV/0!</v>
      </c>
      <c r="K116" s="134" t="e">
        <f>H116-(H116*'Collision Data-Storm '!$B$19)</f>
        <v>#DIV/0!</v>
      </c>
      <c r="L116" s="150" t="e">
        <f>I116*'Parameters-Storm'!$D$28*'Collision Data-Storm '!$E$9</f>
        <v>#DIV/0!</v>
      </c>
      <c r="M116" s="145" t="e">
        <f>J116*'Parameters-Storm'!$D$23*'Collision Data-Storm '!$E$10</f>
        <v>#DIV/0!</v>
      </c>
      <c r="N116" s="162" t="e">
        <f>K116*'Parameters-Storm'!$D$24*'Collision Data-Storm '!$E$10</f>
        <v>#DIV/0!</v>
      </c>
      <c r="O116" s="6"/>
      <c r="P116" s="6"/>
    </row>
    <row r="117" spans="2:16" hidden="1" x14ac:dyDescent="0.25">
      <c r="B117" s="97">
        <v>2048</v>
      </c>
      <c r="C117" s="94">
        <v>22</v>
      </c>
      <c r="D117" s="142">
        <v>28</v>
      </c>
      <c r="E117" s="130">
        <f t="shared" si="11"/>
        <v>0</v>
      </c>
      <c r="F117" s="136" t="e">
        <f>(('Collision Data-Storm '!B$8*$E117*1*365)/1000000)</f>
        <v>#DIV/0!</v>
      </c>
      <c r="G117" s="126" t="e">
        <f>(('Collision Data-Storm '!C$8*$E117*1*365)/1000000)</f>
        <v>#DIV/0!</v>
      </c>
      <c r="H117" s="159" t="e">
        <f>(('Collision Data-Storm '!D$8*$E117*1*365)/1000000)</f>
        <v>#DIV/0!</v>
      </c>
      <c r="I117" s="136" t="e">
        <f>F117-(F117*'Collision Data-Storm '!$B$19)</f>
        <v>#DIV/0!</v>
      </c>
      <c r="J117" s="126" t="e">
        <f>G117-(G117*'Collision Data-Storm '!$B$19)</f>
        <v>#DIV/0!</v>
      </c>
      <c r="K117" s="159" t="e">
        <f>H117-(H117*'Collision Data-Storm '!$B$19)</f>
        <v>#DIV/0!</v>
      </c>
      <c r="L117" s="151" t="e">
        <f>I117*'Parameters-Storm'!$D$28*'Collision Data-Storm '!$E$9</f>
        <v>#DIV/0!</v>
      </c>
      <c r="M117" s="146" t="e">
        <f>J117*'Parameters-Storm'!$D$23*'Collision Data-Storm '!$E$10</f>
        <v>#DIV/0!</v>
      </c>
      <c r="N117" s="157" t="e">
        <f>K117*'Parameters-Storm'!$D$24*'Collision Data-Storm '!$E$10</f>
        <v>#DIV/0!</v>
      </c>
      <c r="O117" s="6"/>
      <c r="P117" s="6"/>
    </row>
    <row r="118" spans="2:16" hidden="1" x14ac:dyDescent="0.25">
      <c r="B118" s="98">
        <v>2049</v>
      </c>
      <c r="C118" s="94">
        <v>23</v>
      </c>
      <c r="D118" s="142">
        <v>29</v>
      </c>
      <c r="E118" s="130">
        <f t="shared" si="11"/>
        <v>0</v>
      </c>
      <c r="F118" s="136" t="e">
        <f>(('Collision Data-Storm '!B$8*$E118*1*365)/1000000)</f>
        <v>#DIV/0!</v>
      </c>
      <c r="G118" s="126" t="e">
        <f>(('Collision Data-Storm '!C$8*$E118*1*365)/1000000)</f>
        <v>#DIV/0!</v>
      </c>
      <c r="H118" s="159" t="e">
        <f>(('Collision Data-Storm '!D$8*$E118*1*365)/1000000)</f>
        <v>#DIV/0!</v>
      </c>
      <c r="I118" s="136" t="e">
        <f>F118-(F118*'Collision Data-Storm '!$B$19)</f>
        <v>#DIV/0!</v>
      </c>
      <c r="J118" s="126" t="e">
        <f>G118-(G118*'Collision Data-Storm '!$B$19)</f>
        <v>#DIV/0!</v>
      </c>
      <c r="K118" s="159" t="e">
        <f>H118-(H118*'Collision Data-Storm '!$B$19)</f>
        <v>#DIV/0!</v>
      </c>
      <c r="L118" s="151" t="e">
        <f>I118*'Parameters-Storm'!$D$28*'Collision Data-Storm '!$E$9</f>
        <v>#DIV/0!</v>
      </c>
      <c r="M118" s="146" t="e">
        <f>J118*'Parameters-Storm'!$D$23*'Collision Data-Storm '!$E$10</f>
        <v>#DIV/0!</v>
      </c>
      <c r="N118" s="157" t="e">
        <f>K118*'Parameters-Storm'!$D$24*'Collision Data-Storm '!$E$10</f>
        <v>#DIV/0!</v>
      </c>
      <c r="O118" s="6"/>
      <c r="P118" s="6"/>
    </row>
    <row r="119" spans="2:16" hidden="1" x14ac:dyDescent="0.25">
      <c r="B119" s="97">
        <v>2050</v>
      </c>
      <c r="C119" s="94">
        <v>24</v>
      </c>
      <c r="D119" s="142">
        <v>30</v>
      </c>
      <c r="E119" s="130">
        <f t="shared" si="11"/>
        <v>0</v>
      </c>
      <c r="F119" s="136" t="e">
        <f>(('Collision Data-Storm '!B$8*$E119*1*365)/1000000)</f>
        <v>#DIV/0!</v>
      </c>
      <c r="G119" s="126" t="e">
        <f>(('Collision Data-Storm '!C$8*$E119*1*365)/1000000)</f>
        <v>#DIV/0!</v>
      </c>
      <c r="H119" s="159" t="e">
        <f>(('Collision Data-Storm '!D$8*$E119*1*365)/1000000)</f>
        <v>#DIV/0!</v>
      </c>
      <c r="I119" s="136" t="e">
        <f>F119-(F119*'Collision Data-Storm '!$B$19)</f>
        <v>#DIV/0!</v>
      </c>
      <c r="J119" s="126" t="e">
        <f>G119-(G119*'Collision Data-Storm '!$B$19)</f>
        <v>#DIV/0!</v>
      </c>
      <c r="K119" s="159" t="e">
        <f>H119-(H119*'Collision Data-Storm '!$B$19)</f>
        <v>#DIV/0!</v>
      </c>
      <c r="L119" s="151" t="e">
        <f>I119*'Parameters-Storm'!$D$28*'Collision Data-Storm '!$E$9</f>
        <v>#DIV/0!</v>
      </c>
      <c r="M119" s="146" t="e">
        <f>J119*'Parameters-Storm'!$D$23*'Collision Data-Storm '!$E$10</f>
        <v>#DIV/0!</v>
      </c>
      <c r="N119" s="157" t="e">
        <f>K119*'Parameters-Storm'!$D$24*'Collision Data-Storm '!$E$10</f>
        <v>#DIV/0!</v>
      </c>
      <c r="O119" s="6"/>
      <c r="P119" s="6"/>
    </row>
    <row r="120" spans="2:16" hidden="1" x14ac:dyDescent="0.25">
      <c r="B120" s="98">
        <v>2051</v>
      </c>
      <c r="C120" s="94">
        <v>25</v>
      </c>
      <c r="D120" s="142">
        <v>31</v>
      </c>
      <c r="E120" s="130">
        <f t="shared" si="11"/>
        <v>0</v>
      </c>
      <c r="F120" s="136" t="e">
        <f>(('Collision Data-Storm '!B$8*$E120*1*365)/1000000)</f>
        <v>#DIV/0!</v>
      </c>
      <c r="G120" s="126" t="e">
        <f>(('Collision Data-Storm '!C$8*$E120*1*365)/1000000)</f>
        <v>#DIV/0!</v>
      </c>
      <c r="H120" s="159" t="e">
        <f>(('Collision Data-Storm '!D$8*$E120*1*365)/1000000)</f>
        <v>#DIV/0!</v>
      </c>
      <c r="I120" s="136" t="e">
        <f>F120-(F120*'Collision Data-Storm '!$B$19)</f>
        <v>#DIV/0!</v>
      </c>
      <c r="J120" s="126" t="e">
        <f>G120-(G120*'Collision Data-Storm '!$B$19)</f>
        <v>#DIV/0!</v>
      </c>
      <c r="K120" s="159" t="e">
        <f>H120-(H120*'Collision Data-Storm '!$B$19)</f>
        <v>#DIV/0!</v>
      </c>
      <c r="L120" s="151" t="e">
        <f>I120*'Parameters-Storm'!$D$28*'Collision Data-Storm '!$E$9</f>
        <v>#DIV/0!</v>
      </c>
      <c r="M120" s="146" t="e">
        <f>J120*'Parameters-Storm'!$D$23*'Collision Data-Storm '!$E$10</f>
        <v>#DIV/0!</v>
      </c>
      <c r="N120" s="157" t="e">
        <f>K120*'Parameters-Storm'!$D$24*'Collision Data-Storm '!$E$10</f>
        <v>#DIV/0!</v>
      </c>
      <c r="O120" s="6"/>
      <c r="P120" s="6"/>
    </row>
    <row r="121" spans="2:16" hidden="1" x14ac:dyDescent="0.25">
      <c r="B121" s="97">
        <v>2052</v>
      </c>
      <c r="C121" s="94">
        <v>26</v>
      </c>
      <c r="D121" s="142">
        <v>32</v>
      </c>
      <c r="E121" s="130">
        <f t="shared" si="11"/>
        <v>0</v>
      </c>
      <c r="F121" s="136" t="e">
        <f>(('Collision Data-Storm '!B$8*$E121*1*365)/1000000)</f>
        <v>#DIV/0!</v>
      </c>
      <c r="G121" s="126" t="e">
        <f>(('Collision Data-Storm '!C$8*$E121*1*365)/1000000)</f>
        <v>#DIV/0!</v>
      </c>
      <c r="H121" s="159" t="e">
        <f>(('Collision Data-Storm '!D$8*$E121*1*365)/1000000)</f>
        <v>#DIV/0!</v>
      </c>
      <c r="I121" s="136" t="e">
        <f>F121-(F121*'Collision Data-Storm '!$B$19)</f>
        <v>#DIV/0!</v>
      </c>
      <c r="J121" s="126" t="e">
        <f>G121-(G121*'Collision Data-Storm '!$B$19)</f>
        <v>#DIV/0!</v>
      </c>
      <c r="K121" s="159" t="e">
        <f>H121-(H121*'Collision Data-Storm '!$B$19)</f>
        <v>#DIV/0!</v>
      </c>
      <c r="L121" s="151" t="e">
        <f>I121*'Parameters-Storm'!$D$28*'Collision Data-Storm '!$E$9</f>
        <v>#DIV/0!</v>
      </c>
      <c r="M121" s="146" t="e">
        <f>J121*'Parameters-Storm'!$D$23*'Collision Data-Storm '!$E$10</f>
        <v>#DIV/0!</v>
      </c>
      <c r="N121" s="157" t="e">
        <f>K121*'Parameters-Storm'!$D$24*'Collision Data-Storm '!$E$10</f>
        <v>#DIV/0!</v>
      </c>
      <c r="O121" s="6"/>
      <c r="P121" s="6"/>
    </row>
    <row r="122" spans="2:16" hidden="1" x14ac:dyDescent="0.25">
      <c r="B122" s="98">
        <v>2053</v>
      </c>
      <c r="C122" s="94">
        <v>27</v>
      </c>
      <c r="D122" s="142">
        <v>33</v>
      </c>
      <c r="E122" s="130">
        <f t="shared" si="11"/>
        <v>0</v>
      </c>
      <c r="F122" s="136" t="e">
        <f>(('Collision Data-Storm '!B$8*$E122*1*365)/1000000)</f>
        <v>#DIV/0!</v>
      </c>
      <c r="G122" s="126" t="e">
        <f>(('Collision Data-Storm '!C$8*$E122*1*365)/1000000)</f>
        <v>#DIV/0!</v>
      </c>
      <c r="H122" s="159" t="e">
        <f>(('Collision Data-Storm '!D$8*$E122*1*365)/1000000)</f>
        <v>#DIV/0!</v>
      </c>
      <c r="I122" s="136" t="e">
        <f>F122-(F122*'Collision Data-Storm '!$B$19)</f>
        <v>#DIV/0!</v>
      </c>
      <c r="J122" s="126" t="e">
        <f>G122-(G122*'Collision Data-Storm '!$B$19)</f>
        <v>#DIV/0!</v>
      </c>
      <c r="K122" s="159" t="e">
        <f>H122-(H122*'Collision Data-Storm '!$B$19)</f>
        <v>#DIV/0!</v>
      </c>
      <c r="L122" s="151" t="e">
        <f>I122*'Parameters-Storm'!$D$28*'Collision Data-Storm '!$E$9</f>
        <v>#DIV/0!</v>
      </c>
      <c r="M122" s="146" t="e">
        <f>J122*'Parameters-Storm'!$D$23*'Collision Data-Storm '!$E$10</f>
        <v>#DIV/0!</v>
      </c>
      <c r="N122" s="157" t="e">
        <f>K122*'Parameters-Storm'!$D$24*'Collision Data-Storm '!$E$10</f>
        <v>#DIV/0!</v>
      </c>
      <c r="O122" s="6"/>
      <c r="P122" s="6"/>
    </row>
    <row r="123" spans="2:16" hidden="1" x14ac:dyDescent="0.25">
      <c r="B123" s="97">
        <v>2054</v>
      </c>
      <c r="C123" s="94">
        <v>28</v>
      </c>
      <c r="D123" s="142">
        <v>34</v>
      </c>
      <c r="E123" s="130">
        <f t="shared" si="11"/>
        <v>0</v>
      </c>
      <c r="F123" s="136" t="e">
        <f>(('Collision Data-Storm '!B$8*$E123*1*365)/1000000)</f>
        <v>#DIV/0!</v>
      </c>
      <c r="G123" s="126" t="e">
        <f>(('Collision Data-Storm '!C$8*$E123*1*365)/1000000)</f>
        <v>#DIV/0!</v>
      </c>
      <c r="H123" s="159" t="e">
        <f>(('Collision Data-Storm '!D$8*$E123*1*365)/1000000)</f>
        <v>#DIV/0!</v>
      </c>
      <c r="I123" s="136" t="e">
        <f>F123-(F123*'Collision Data-Storm '!$B$19)</f>
        <v>#DIV/0!</v>
      </c>
      <c r="J123" s="126" t="e">
        <f>G123-(G123*'Collision Data-Storm '!$B$19)</f>
        <v>#DIV/0!</v>
      </c>
      <c r="K123" s="159" t="e">
        <f>H123-(H123*'Collision Data-Storm '!$B$19)</f>
        <v>#DIV/0!</v>
      </c>
      <c r="L123" s="151" t="e">
        <f>I123*'Parameters-Storm'!$D$28*'Collision Data-Storm '!$E$9</f>
        <v>#DIV/0!</v>
      </c>
      <c r="M123" s="146" t="e">
        <f>J123*'Parameters-Storm'!$D$23*'Collision Data-Storm '!$E$10</f>
        <v>#DIV/0!</v>
      </c>
      <c r="N123" s="157" t="e">
        <f>K123*'Parameters-Storm'!$D$24*'Collision Data-Storm '!$E$10</f>
        <v>#DIV/0!</v>
      </c>
      <c r="O123" s="6"/>
      <c r="P123" s="6"/>
    </row>
    <row r="124" spans="2:16" hidden="1" x14ac:dyDescent="0.25">
      <c r="B124" s="98">
        <v>2055</v>
      </c>
      <c r="C124" s="94">
        <v>29</v>
      </c>
      <c r="D124" s="142">
        <v>35</v>
      </c>
      <c r="E124" s="130">
        <f t="shared" si="11"/>
        <v>0</v>
      </c>
      <c r="F124" s="136" t="e">
        <f>(('Collision Data-Storm '!B$8*$E124*1*365)/1000000)</f>
        <v>#DIV/0!</v>
      </c>
      <c r="G124" s="126" t="e">
        <f>(('Collision Data-Storm '!C$8*$E124*1*365)/1000000)</f>
        <v>#DIV/0!</v>
      </c>
      <c r="H124" s="159" t="e">
        <f>(('Collision Data-Storm '!D$8*$E124*1*365)/1000000)</f>
        <v>#DIV/0!</v>
      </c>
      <c r="I124" s="136" t="e">
        <f>F124-(F124*'Collision Data-Storm '!$B$19)</f>
        <v>#DIV/0!</v>
      </c>
      <c r="J124" s="126" t="e">
        <f>G124-(G124*'Collision Data-Storm '!$B$19)</f>
        <v>#DIV/0!</v>
      </c>
      <c r="K124" s="159" t="e">
        <f>H124-(H124*'Collision Data-Storm '!$B$19)</f>
        <v>#DIV/0!</v>
      </c>
      <c r="L124" s="151" t="e">
        <f>I124*'Parameters-Storm'!$D$28*'Collision Data-Storm '!$E$9</f>
        <v>#DIV/0!</v>
      </c>
      <c r="M124" s="146" t="e">
        <f>J124*'Parameters-Storm'!$D$23*'Collision Data-Storm '!$E$10</f>
        <v>#DIV/0!</v>
      </c>
      <c r="N124" s="157" t="e">
        <f>K124*'Parameters-Storm'!$D$24*'Collision Data-Storm '!$E$10</f>
        <v>#DIV/0!</v>
      </c>
      <c r="O124" s="6"/>
      <c r="P124" s="6"/>
    </row>
    <row r="125" spans="2:16" hidden="1" x14ac:dyDescent="0.25">
      <c r="B125" s="97">
        <v>2056</v>
      </c>
      <c r="C125" s="94">
        <v>30</v>
      </c>
      <c r="D125" s="142">
        <v>36</v>
      </c>
      <c r="E125" s="130">
        <f t="shared" si="11"/>
        <v>0</v>
      </c>
      <c r="F125" s="136" t="e">
        <f>(('Collision Data-Storm '!B$8*$E125*1*365)/1000000)</f>
        <v>#DIV/0!</v>
      </c>
      <c r="G125" s="126" t="e">
        <f>(('Collision Data-Storm '!C$8*$E125*1*365)/1000000)</f>
        <v>#DIV/0!</v>
      </c>
      <c r="H125" s="159" t="e">
        <f>(('Collision Data-Storm '!D$8*$E125*1*365)/1000000)</f>
        <v>#DIV/0!</v>
      </c>
      <c r="I125" s="136" t="e">
        <f>F125-(F125*'Collision Data-Storm '!$B$19)</f>
        <v>#DIV/0!</v>
      </c>
      <c r="J125" s="126" t="e">
        <f>G125-(G125*'Collision Data-Storm '!$B$19)</f>
        <v>#DIV/0!</v>
      </c>
      <c r="K125" s="159" t="e">
        <f>H125-(H125*'Collision Data-Storm '!$B$19)</f>
        <v>#DIV/0!</v>
      </c>
      <c r="L125" s="151" t="e">
        <f>I125*'Parameters-Storm'!$D$28*'Collision Data-Storm '!$E$9</f>
        <v>#DIV/0!</v>
      </c>
      <c r="M125" s="146" t="e">
        <f>J125*'Parameters-Storm'!$D$23*'Collision Data-Storm '!$E$10</f>
        <v>#DIV/0!</v>
      </c>
      <c r="N125" s="157" t="e">
        <f>K125*'Parameters-Storm'!$D$24*'Collision Data-Storm '!$E$10</f>
        <v>#DIV/0!</v>
      </c>
      <c r="O125" s="6"/>
      <c r="P125" s="6"/>
    </row>
    <row r="126" spans="2:16" ht="15.75" hidden="1" thickBot="1" x14ac:dyDescent="0.3">
      <c r="B126" s="99">
        <v>2057</v>
      </c>
      <c r="C126" s="100">
        <v>31</v>
      </c>
      <c r="D126" s="143">
        <v>37</v>
      </c>
      <c r="E126" s="131">
        <f t="shared" si="11"/>
        <v>0</v>
      </c>
      <c r="F126" s="137" t="e">
        <f>(('Collision Data-Storm '!B$8*$E126*1*365)/1000000)</f>
        <v>#DIV/0!</v>
      </c>
      <c r="G126" s="127" t="e">
        <f>(('Collision Data-Storm '!C$8*$E126*1*365)/1000000)</f>
        <v>#DIV/0!</v>
      </c>
      <c r="H126" s="160" t="e">
        <f>(('Collision Data-Storm '!D$8*$E126*1*365)/1000000)</f>
        <v>#DIV/0!</v>
      </c>
      <c r="I126" s="137" t="e">
        <f>F126-(F126*'Collision Data-Storm '!$B$19)</f>
        <v>#DIV/0!</v>
      </c>
      <c r="J126" s="127" t="e">
        <f>G126-(G126*'Collision Data-Storm '!$B$19)</f>
        <v>#DIV/0!</v>
      </c>
      <c r="K126" s="160" t="e">
        <f>H126-(H126*'Collision Data-Storm '!$B$19)</f>
        <v>#DIV/0!</v>
      </c>
      <c r="L126" s="152" t="e">
        <f>I126*'Parameters-Storm'!$D$28*'Collision Data-Storm '!$E$9</f>
        <v>#DIV/0!</v>
      </c>
      <c r="M126" s="153" t="e">
        <f>J126*'Parameters-Storm'!$D$23*'Collision Data-Storm '!$E$10</f>
        <v>#DIV/0!</v>
      </c>
      <c r="N126" s="158" t="e">
        <f>K126*'Parameters-Storm'!$D$24*'Collision Data-Storm '!$E$10</f>
        <v>#DIV/0!</v>
      </c>
      <c r="O126" s="6"/>
      <c r="P126" s="6"/>
    </row>
    <row r="127" spans="2:16" ht="15.75" hidden="1" thickBot="1" x14ac:dyDescent="0.3">
      <c r="F127" s="306" t="e">
        <f>SUM(F90:F126)</f>
        <v>#DIV/0!</v>
      </c>
      <c r="G127" s="306" t="e">
        <f t="shared" ref="G127:K127" si="12">SUM(G90:G126)</f>
        <v>#DIV/0!</v>
      </c>
      <c r="H127" s="306" t="e">
        <f t="shared" si="12"/>
        <v>#DIV/0!</v>
      </c>
      <c r="I127" s="306" t="e">
        <f t="shared" si="12"/>
        <v>#DIV/0!</v>
      </c>
      <c r="J127" s="306" t="e">
        <f t="shared" si="12"/>
        <v>#DIV/0!</v>
      </c>
      <c r="K127" s="306" t="e">
        <f t="shared" si="12"/>
        <v>#DIV/0!</v>
      </c>
      <c r="L127" s="5" t="e">
        <f>SUM(L90:L126)</f>
        <v>#DIV/0!</v>
      </c>
      <c r="M127" s="8" t="e">
        <f>SUM(M90:M126)</f>
        <v>#DIV/0!</v>
      </c>
      <c r="N127" s="4" t="e">
        <f>SUM(N90:N126)</f>
        <v>#DIV/0!</v>
      </c>
      <c r="O127" s="26"/>
      <c r="P127" s="26"/>
    </row>
    <row r="128" spans="2:16" hidden="1" x14ac:dyDescent="0.25">
      <c r="F128" s="306"/>
      <c r="G128" s="306"/>
      <c r="H128" s="306"/>
      <c r="I128" s="306" t="e">
        <f>F127-I127</f>
        <v>#DIV/0!</v>
      </c>
      <c r="J128" s="306" t="e">
        <f>G127-J127</f>
        <v>#DIV/0!</v>
      </c>
      <c r="K128" s="306" t="e">
        <f t="shared" ref="K128" si="13">H127-K127</f>
        <v>#DIV/0!</v>
      </c>
      <c r="L128" s="23"/>
      <c r="M128" s="23"/>
      <c r="N128" s="23"/>
      <c r="O128" s="26"/>
      <c r="P128" s="26"/>
    </row>
    <row r="129" spans="2:10" ht="15.75" thickBot="1" x14ac:dyDescent="0.3">
      <c r="B129" s="18" t="s">
        <v>141</v>
      </c>
    </row>
    <row r="130" spans="2:10" x14ac:dyDescent="0.25">
      <c r="B130" s="574" t="s">
        <v>1</v>
      </c>
      <c r="C130" s="576" t="s">
        <v>2</v>
      </c>
      <c r="D130" s="592" t="s">
        <v>22</v>
      </c>
      <c r="E130" s="580" t="s">
        <v>136</v>
      </c>
      <c r="F130" s="573"/>
      <c r="G130" s="573"/>
      <c r="H130" s="581"/>
      <c r="I130" s="582" t="s">
        <v>137</v>
      </c>
    </row>
    <row r="131" spans="2:10" ht="15.75" thickBot="1" x14ac:dyDescent="0.3">
      <c r="B131" s="575"/>
      <c r="C131" s="577"/>
      <c r="D131" s="593"/>
      <c r="E131" s="380" t="s">
        <v>35</v>
      </c>
      <c r="F131" s="381" t="s">
        <v>36</v>
      </c>
      <c r="G131" s="381" t="s">
        <v>37</v>
      </c>
      <c r="H131" s="104" t="s">
        <v>18</v>
      </c>
      <c r="I131" s="583"/>
    </row>
    <row r="132" spans="2:10" s="378" customFormat="1" x14ac:dyDescent="0.25">
      <c r="B132" s="389">
        <f t="shared" ref="B132:B135" si="14">B133-1</f>
        <v>2021</v>
      </c>
      <c r="C132" s="384">
        <v>0</v>
      </c>
      <c r="D132" s="139">
        <f t="shared" ref="D132:D133" si="15">D131+1</f>
        <v>1</v>
      </c>
      <c r="E132" s="438">
        <f t="shared" ref="E132:G132" si="16">L6</f>
        <v>0</v>
      </c>
      <c r="F132" s="437">
        <f t="shared" si="16"/>
        <v>0</v>
      </c>
      <c r="G132" s="437">
        <f t="shared" si="16"/>
        <v>0</v>
      </c>
      <c r="H132" s="195">
        <f t="shared" ref="H132:H133" si="17">SUM(E132:G132)</f>
        <v>0</v>
      </c>
      <c r="I132" s="196">
        <f>H132/(1.07^($B132-$B$132))</f>
        <v>0</v>
      </c>
    </row>
    <row r="133" spans="2:10" s="378" customFormat="1" x14ac:dyDescent="0.25">
      <c r="B133" s="389">
        <f t="shared" si="14"/>
        <v>2022</v>
      </c>
      <c r="C133" s="384">
        <v>0</v>
      </c>
      <c r="D133" s="139">
        <f t="shared" si="15"/>
        <v>2</v>
      </c>
      <c r="E133" s="438">
        <f t="shared" ref="E133:G133" si="18">L7</f>
        <v>0</v>
      </c>
      <c r="F133" s="437">
        <f t="shared" si="18"/>
        <v>0</v>
      </c>
      <c r="G133" s="437">
        <f t="shared" si="18"/>
        <v>0</v>
      </c>
      <c r="H133" s="195">
        <f t="shared" si="17"/>
        <v>0</v>
      </c>
      <c r="I133" s="196">
        <f t="shared" ref="I133:I168" si="19">H133/(1.07^($B133-$B$132))</f>
        <v>0</v>
      </c>
    </row>
    <row r="134" spans="2:10" x14ac:dyDescent="0.25">
      <c r="B134" s="389">
        <f t="shared" si="14"/>
        <v>2023</v>
      </c>
      <c r="C134" s="384">
        <v>0</v>
      </c>
      <c r="D134" s="139">
        <f t="shared" ref="D134:D168" si="20">D133+1</f>
        <v>3</v>
      </c>
      <c r="E134" s="438">
        <f t="shared" ref="E134:E167" si="21">L8</f>
        <v>0</v>
      </c>
      <c r="F134" s="437">
        <f t="shared" ref="F134:F167" si="22">M8</f>
        <v>0</v>
      </c>
      <c r="G134" s="437">
        <f t="shared" ref="G134:G167" si="23">N8</f>
        <v>0</v>
      </c>
      <c r="H134" s="195">
        <f t="shared" ref="H134:H166" si="24">SUM(E134:G134)</f>
        <v>0</v>
      </c>
      <c r="I134" s="196">
        <f t="shared" si="19"/>
        <v>0</v>
      </c>
    </row>
    <row r="135" spans="2:10" x14ac:dyDescent="0.25">
      <c r="B135" s="389">
        <f t="shared" si="14"/>
        <v>2024</v>
      </c>
      <c r="C135" s="384">
        <v>0</v>
      </c>
      <c r="D135" s="139">
        <f t="shared" si="20"/>
        <v>4</v>
      </c>
      <c r="E135" s="438">
        <f t="shared" si="21"/>
        <v>0</v>
      </c>
      <c r="F135" s="437">
        <f t="shared" si="22"/>
        <v>0</v>
      </c>
      <c r="G135" s="437">
        <f t="shared" si="23"/>
        <v>0</v>
      </c>
      <c r="H135" s="195">
        <f t="shared" si="24"/>
        <v>0</v>
      </c>
      <c r="I135" s="196">
        <f t="shared" si="19"/>
        <v>0</v>
      </c>
    </row>
    <row r="136" spans="2:10" x14ac:dyDescent="0.25">
      <c r="B136" s="389">
        <f>B137-1</f>
        <v>2025</v>
      </c>
      <c r="C136" s="384">
        <v>0</v>
      </c>
      <c r="D136" s="139">
        <f t="shared" si="20"/>
        <v>5</v>
      </c>
      <c r="E136" s="438">
        <f t="shared" si="21"/>
        <v>0</v>
      </c>
      <c r="F136" s="437">
        <f t="shared" si="22"/>
        <v>0</v>
      </c>
      <c r="G136" s="437">
        <f t="shared" si="23"/>
        <v>0</v>
      </c>
      <c r="H136" s="195">
        <f t="shared" si="24"/>
        <v>0</v>
      </c>
      <c r="I136" s="196">
        <f t="shared" si="19"/>
        <v>0</v>
      </c>
    </row>
    <row r="137" spans="2:10" x14ac:dyDescent="0.25">
      <c r="B137" s="391">
        <v>2026</v>
      </c>
      <c r="C137" s="385">
        <v>1</v>
      </c>
      <c r="D137" s="140">
        <f t="shared" si="20"/>
        <v>6</v>
      </c>
      <c r="E137" s="340">
        <f t="shared" si="21"/>
        <v>528197.70726714435</v>
      </c>
      <c r="F137" s="341">
        <f t="shared" si="22"/>
        <v>12434434.814706504</v>
      </c>
      <c r="G137" s="341">
        <f t="shared" si="23"/>
        <v>4884391.2477758592</v>
      </c>
      <c r="H137" s="197">
        <f t="shared" si="24"/>
        <v>17847023.769749507</v>
      </c>
      <c r="I137" s="198">
        <f t="shared" si="19"/>
        <v>12724681.292747919</v>
      </c>
      <c r="J137" s="17" t="s">
        <v>51</v>
      </c>
    </row>
    <row r="138" spans="2:10" x14ac:dyDescent="0.25">
      <c r="B138" s="524">
        <f>B137+1</f>
        <v>2027</v>
      </c>
      <c r="C138" s="525">
        <f>C137+1</f>
        <v>2</v>
      </c>
      <c r="D138" s="526">
        <f t="shared" si="20"/>
        <v>7</v>
      </c>
      <c r="E138" s="550">
        <f t="shared" si="21"/>
        <v>530838.69580348011</v>
      </c>
      <c r="F138" s="551">
        <f t="shared" si="22"/>
        <v>12496606.988780035</v>
      </c>
      <c r="G138" s="551">
        <f t="shared" si="23"/>
        <v>4908813.2040147362</v>
      </c>
      <c r="H138" s="439">
        <f t="shared" si="24"/>
        <v>17936258.888598252</v>
      </c>
      <c r="I138" s="199">
        <f t="shared" si="19"/>
        <v>11951686.63477725</v>
      </c>
      <c r="J138" s="22"/>
    </row>
    <row r="139" spans="2:10" x14ac:dyDescent="0.25">
      <c r="B139" s="529">
        <f t="shared" ref="B139:C168" si="25">B138+1</f>
        <v>2028</v>
      </c>
      <c r="C139" s="530">
        <f t="shared" si="25"/>
        <v>3</v>
      </c>
      <c r="D139" s="531">
        <f t="shared" si="20"/>
        <v>8</v>
      </c>
      <c r="E139" s="550">
        <f t="shared" si="21"/>
        <v>533492.88928249734</v>
      </c>
      <c r="F139" s="551">
        <f t="shared" si="22"/>
        <v>12559090.023723936</v>
      </c>
      <c r="G139" s="551">
        <f t="shared" si="23"/>
        <v>4933357.2700348087</v>
      </c>
      <c r="H139" s="439">
        <f t="shared" si="24"/>
        <v>18025940.183041241</v>
      </c>
      <c r="I139" s="199">
        <f t="shared" si="19"/>
        <v>11225649.596216012</v>
      </c>
      <c r="J139" s="22"/>
    </row>
    <row r="140" spans="2:10" x14ac:dyDescent="0.25">
      <c r="B140" s="524">
        <f t="shared" si="25"/>
        <v>2029</v>
      </c>
      <c r="C140" s="530">
        <f t="shared" si="25"/>
        <v>4</v>
      </c>
      <c r="D140" s="531">
        <f t="shared" si="20"/>
        <v>9</v>
      </c>
      <c r="E140" s="550">
        <f t="shared" si="21"/>
        <v>536160.35372890963</v>
      </c>
      <c r="F140" s="551">
        <f t="shared" si="22"/>
        <v>12621885.473842552</v>
      </c>
      <c r="G140" s="551">
        <f t="shared" si="23"/>
        <v>4958024.0563849835</v>
      </c>
      <c r="H140" s="439">
        <f t="shared" si="24"/>
        <v>18116069.883956444</v>
      </c>
      <c r="I140" s="199">
        <f t="shared" si="19"/>
        <v>10543717.61139915</v>
      </c>
      <c r="J140" s="22"/>
    </row>
    <row r="141" spans="2:10" x14ac:dyDescent="0.25">
      <c r="B141" s="529">
        <f t="shared" si="25"/>
        <v>2030</v>
      </c>
      <c r="C141" s="530">
        <f t="shared" si="25"/>
        <v>5</v>
      </c>
      <c r="D141" s="531">
        <f t="shared" si="20"/>
        <v>10</v>
      </c>
      <c r="E141" s="550">
        <f t="shared" si="21"/>
        <v>538841.15549755422</v>
      </c>
      <c r="F141" s="551">
        <f t="shared" si="22"/>
        <v>12684994.901211761</v>
      </c>
      <c r="G141" s="551">
        <f t="shared" si="23"/>
        <v>4982814.176666908</v>
      </c>
      <c r="H141" s="439">
        <f t="shared" si="24"/>
        <v>18206650.233376224</v>
      </c>
      <c r="I141" s="199">
        <f t="shared" si="19"/>
        <v>9903211.4013608806</v>
      </c>
      <c r="J141" s="22"/>
    </row>
    <row r="142" spans="2:10" x14ac:dyDescent="0.25">
      <c r="B142" s="524">
        <f t="shared" si="25"/>
        <v>2031</v>
      </c>
      <c r="C142" s="530">
        <f t="shared" si="25"/>
        <v>6</v>
      </c>
      <c r="D142" s="531">
        <f t="shared" si="20"/>
        <v>11</v>
      </c>
      <c r="E142" s="550">
        <f t="shared" si="21"/>
        <v>541535.36127504194</v>
      </c>
      <c r="F142" s="551">
        <f t="shared" si="22"/>
        <v>12748419.875717819</v>
      </c>
      <c r="G142" s="551">
        <f t="shared" si="23"/>
        <v>5007728.2475502407</v>
      </c>
      <c r="H142" s="439">
        <f t="shared" si="24"/>
        <v>18297683.4845431</v>
      </c>
      <c r="I142" s="199">
        <f t="shared" si="19"/>
        <v>9301614.4470726009</v>
      </c>
      <c r="J142" s="22"/>
    </row>
    <row r="143" spans="2:10" x14ac:dyDescent="0.25">
      <c r="B143" s="529">
        <f t="shared" si="25"/>
        <v>2032</v>
      </c>
      <c r="C143" s="530">
        <f t="shared" si="25"/>
        <v>7</v>
      </c>
      <c r="D143" s="531">
        <f t="shared" si="20"/>
        <v>12</v>
      </c>
      <c r="E143" s="550">
        <f t="shared" si="21"/>
        <v>544243.03808141686</v>
      </c>
      <c r="F143" s="551">
        <f t="shared" si="22"/>
        <v>12812161.975096403</v>
      </c>
      <c r="G143" s="551">
        <f t="shared" si="23"/>
        <v>5032766.8887879904</v>
      </c>
      <c r="H143" s="439">
        <f t="shared" si="24"/>
        <v>18389171.901965812</v>
      </c>
      <c r="I143" s="199">
        <f t="shared" si="19"/>
        <v>8736563.1021569725</v>
      </c>
      <c r="J143" s="22"/>
    </row>
    <row r="144" spans="2:10" x14ac:dyDescent="0.25">
      <c r="B144" s="524">
        <f t="shared" si="25"/>
        <v>2033</v>
      </c>
      <c r="C144" s="530">
        <f t="shared" si="25"/>
        <v>8</v>
      </c>
      <c r="D144" s="531">
        <f t="shared" si="20"/>
        <v>13</v>
      </c>
      <c r="E144" s="550">
        <f t="shared" si="21"/>
        <v>546964.25327182398</v>
      </c>
      <c r="F144" s="551">
        <f t="shared" si="22"/>
        <v>12876222.784971887</v>
      </c>
      <c r="G144" s="551">
        <f t="shared" si="23"/>
        <v>5057930.7232319303</v>
      </c>
      <c r="H144" s="439">
        <f t="shared" si="24"/>
        <v>18481117.761475641</v>
      </c>
      <c r="I144" s="199">
        <f t="shared" si="19"/>
        <v>8205837.3062315518</v>
      </c>
      <c r="J144" s="22"/>
    </row>
    <row r="145" spans="2:10" x14ac:dyDescent="0.25">
      <c r="B145" s="529">
        <f t="shared" si="25"/>
        <v>2034</v>
      </c>
      <c r="C145" s="530">
        <f t="shared" si="25"/>
        <v>9</v>
      </c>
      <c r="D145" s="531">
        <f t="shared" si="20"/>
        <v>14</v>
      </c>
      <c r="E145" s="550">
        <f t="shared" si="21"/>
        <v>549699.07453818293</v>
      </c>
      <c r="F145" s="551">
        <f t="shared" si="22"/>
        <v>12940603.898896743</v>
      </c>
      <c r="G145" s="551">
        <f t="shared" si="23"/>
        <v>5083220.3768480886</v>
      </c>
      <c r="H145" s="439">
        <f t="shared" si="24"/>
        <v>18573523.350283012</v>
      </c>
      <c r="I145" s="199">
        <f t="shared" si="19"/>
        <v>7707351.8623950519</v>
      </c>
      <c r="J145" s="22"/>
    </row>
    <row r="146" spans="2:10" x14ac:dyDescent="0.25">
      <c r="B146" s="524">
        <f t="shared" si="25"/>
        <v>2035</v>
      </c>
      <c r="C146" s="530">
        <f t="shared" si="25"/>
        <v>10</v>
      </c>
      <c r="D146" s="531">
        <f t="shared" si="20"/>
        <v>15</v>
      </c>
      <c r="E146" s="550">
        <f t="shared" si="21"/>
        <v>552447.56991087378</v>
      </c>
      <c r="F146" s="551">
        <f t="shared" si="22"/>
        <v>13005306.918391224</v>
      </c>
      <c r="G146" s="551">
        <f t="shared" si="23"/>
        <v>5108636.4787323289</v>
      </c>
      <c r="H146" s="439">
        <f t="shared" si="24"/>
        <v>18666390.967034429</v>
      </c>
      <c r="I146" s="199">
        <f t="shared" si="19"/>
        <v>7239148.2445860077</v>
      </c>
      <c r="J146" s="22"/>
    </row>
    <row r="147" spans="2:10" x14ac:dyDescent="0.25">
      <c r="B147" s="529">
        <f t="shared" si="25"/>
        <v>2036</v>
      </c>
      <c r="C147" s="530">
        <f t="shared" si="25"/>
        <v>11</v>
      </c>
      <c r="D147" s="531">
        <f t="shared" si="20"/>
        <v>16</v>
      </c>
      <c r="E147" s="550">
        <f t="shared" si="21"/>
        <v>555209.80776042817</v>
      </c>
      <c r="F147" s="551">
        <f t="shared" si="22"/>
        <v>13070333.452983182</v>
      </c>
      <c r="G147" s="551">
        <f t="shared" si="23"/>
        <v>5134179.6611259906</v>
      </c>
      <c r="H147" s="439">
        <f t="shared" si="24"/>
        <v>18759722.921869602</v>
      </c>
      <c r="I147" s="199">
        <f t="shared" si="19"/>
        <v>6799386.9026251752</v>
      </c>
      <c r="J147" s="22"/>
    </row>
    <row r="148" spans="2:10" x14ac:dyDescent="0.25">
      <c r="B148" s="524">
        <f t="shared" si="25"/>
        <v>2037</v>
      </c>
      <c r="C148" s="530">
        <f t="shared" si="25"/>
        <v>12</v>
      </c>
      <c r="D148" s="531">
        <f t="shared" si="20"/>
        <v>17</v>
      </c>
      <c r="E148" s="550">
        <f t="shared" si="21"/>
        <v>557985.85679923021</v>
      </c>
      <c r="F148" s="551">
        <f t="shared" si="22"/>
        <v>13135685.120248094</v>
      </c>
      <c r="G148" s="551">
        <f t="shared" si="23"/>
        <v>5159850.5594316199</v>
      </c>
      <c r="H148" s="439">
        <f t="shared" si="24"/>
        <v>18853521.536478944</v>
      </c>
      <c r="I148" s="199">
        <f t="shared" si="19"/>
        <v>6386340.0347086908</v>
      </c>
      <c r="J148" s="22"/>
    </row>
    <row r="149" spans="2:10" x14ac:dyDescent="0.25">
      <c r="B149" s="529">
        <f t="shared" si="25"/>
        <v>2038</v>
      </c>
      <c r="C149" s="530">
        <f t="shared" si="25"/>
        <v>13</v>
      </c>
      <c r="D149" s="531">
        <f t="shared" si="20"/>
        <v>18</v>
      </c>
      <c r="E149" s="550">
        <f t="shared" si="21"/>
        <v>560775.78608322632</v>
      </c>
      <c r="F149" s="551">
        <f t="shared" si="22"/>
        <v>13201363.545849333</v>
      </c>
      <c r="G149" s="551">
        <f t="shared" si="23"/>
        <v>5185649.8122287765</v>
      </c>
      <c r="H149" s="439">
        <f t="shared" si="24"/>
        <v>18947789.144161336</v>
      </c>
      <c r="I149" s="199">
        <f t="shared" si="19"/>
        <v>5998384.7989553586</v>
      </c>
      <c r="J149" s="22"/>
    </row>
    <row r="150" spans="2:10" x14ac:dyDescent="0.25">
      <c r="B150" s="524">
        <f t="shared" si="25"/>
        <v>2039</v>
      </c>
      <c r="C150" s="530">
        <f t="shared" si="25"/>
        <v>14</v>
      </c>
      <c r="D150" s="531">
        <f t="shared" si="20"/>
        <v>19</v>
      </c>
      <c r="E150" s="550">
        <f t="shared" si="21"/>
        <v>563579.66501364228</v>
      </c>
      <c r="F150" s="551">
        <f t="shared" si="22"/>
        <v>13267370.363578575</v>
      </c>
      <c r="G150" s="551">
        <f t="shared" si="23"/>
        <v>5211578.0612899205</v>
      </c>
      <c r="H150" s="439">
        <f t="shared" si="24"/>
        <v>19042528.089882139</v>
      </c>
      <c r="I150" s="199">
        <f t="shared" si="19"/>
        <v>5633996.9373365734</v>
      </c>
      <c r="J150" s="22"/>
    </row>
    <row r="151" spans="2:10" x14ac:dyDescent="0.25">
      <c r="B151" s="529">
        <f t="shared" si="25"/>
        <v>2040</v>
      </c>
      <c r="C151" s="530">
        <f t="shared" si="25"/>
        <v>15</v>
      </c>
      <c r="D151" s="531">
        <f t="shared" si="20"/>
        <v>20</v>
      </c>
      <c r="E151" s="550">
        <f t="shared" si="21"/>
        <v>566397.56333871034</v>
      </c>
      <c r="F151" s="551">
        <f t="shared" si="22"/>
        <v>13333707.215396468</v>
      </c>
      <c r="G151" s="551">
        <f t="shared" si="23"/>
        <v>5237635.951596369</v>
      </c>
      <c r="H151" s="439">
        <f t="shared" si="24"/>
        <v>19137740.730331548</v>
      </c>
      <c r="I151" s="199">
        <f t="shared" si="19"/>
        <v>5291744.7869376224</v>
      </c>
      <c r="J151" s="22"/>
    </row>
    <row r="152" spans="2:10" x14ac:dyDescent="0.25">
      <c r="B152" s="524">
        <f t="shared" si="25"/>
        <v>2041</v>
      </c>
      <c r="C152" s="530">
        <f t="shared" si="25"/>
        <v>16</v>
      </c>
      <c r="D152" s="531">
        <f t="shared" si="20"/>
        <v>21</v>
      </c>
      <c r="E152" s="550">
        <f t="shared" si="21"/>
        <v>569229.55115540395</v>
      </c>
      <c r="F152" s="551">
        <f t="shared" si="22"/>
        <v>13400375.751473447</v>
      </c>
      <c r="G152" s="551">
        <f t="shared" si="23"/>
        <v>5263824.1313543478</v>
      </c>
      <c r="H152" s="439">
        <f t="shared" si="24"/>
        <v>19233429.433983199</v>
      </c>
      <c r="I152" s="199">
        <f t="shared" si="19"/>
        <v>4970283.6550208498</v>
      </c>
      <c r="J152" s="22"/>
    </row>
    <row r="153" spans="2:10" x14ac:dyDescent="0.25">
      <c r="B153" s="529">
        <f t="shared" si="25"/>
        <v>2042</v>
      </c>
      <c r="C153" s="530">
        <f t="shared" si="25"/>
        <v>17</v>
      </c>
      <c r="D153" s="531">
        <f t="shared" si="20"/>
        <v>22</v>
      </c>
      <c r="E153" s="550">
        <f t="shared" si="21"/>
        <v>572075.69891118084</v>
      </c>
      <c r="F153" s="551">
        <f t="shared" si="22"/>
        <v>13467377.630230812</v>
      </c>
      <c r="G153" s="551">
        <f t="shared" si="23"/>
        <v>5290143.2520111203</v>
      </c>
      <c r="H153" s="439">
        <f t="shared" si="24"/>
        <v>19329596.581153113</v>
      </c>
      <c r="I153" s="199">
        <f t="shared" si="19"/>
        <v>4668350.5357906101</v>
      </c>
      <c r="J153" s="22"/>
    </row>
    <row r="154" spans="2:10" x14ac:dyDescent="0.25">
      <c r="B154" s="524">
        <f t="shared" si="25"/>
        <v>2043</v>
      </c>
      <c r="C154" s="530">
        <f t="shared" si="25"/>
        <v>18</v>
      </c>
      <c r="D154" s="531">
        <f t="shared" si="20"/>
        <v>23</v>
      </c>
      <c r="E154" s="550">
        <f t="shared" si="21"/>
        <v>574936.07740573678</v>
      </c>
      <c r="F154" s="551">
        <f t="shared" si="22"/>
        <v>13534714.518381966</v>
      </c>
      <c r="G154" s="551">
        <f t="shared" si="23"/>
        <v>5316593.9682711773</v>
      </c>
      <c r="H154" s="439">
        <f t="shared" si="24"/>
        <v>19426244.564058881</v>
      </c>
      <c r="I154" s="199">
        <f t="shared" si="19"/>
        <v>4384759.1481023962</v>
      </c>
      <c r="J154" s="22"/>
    </row>
    <row r="155" spans="2:10" x14ac:dyDescent="0.25">
      <c r="B155" s="529">
        <f t="shared" si="25"/>
        <v>2044</v>
      </c>
      <c r="C155" s="530">
        <f t="shared" si="25"/>
        <v>19</v>
      </c>
      <c r="D155" s="531">
        <f t="shared" si="20"/>
        <v>24</v>
      </c>
      <c r="E155" s="550">
        <f t="shared" si="21"/>
        <v>577810.75779276504</v>
      </c>
      <c r="F155" s="551">
        <f t="shared" si="22"/>
        <v>13602388.090973871</v>
      </c>
      <c r="G155" s="551">
        <f t="shared" si="23"/>
        <v>5343176.9381125309</v>
      </c>
      <c r="H155" s="439">
        <f t="shared" si="24"/>
        <v>19523375.786879167</v>
      </c>
      <c r="I155" s="199">
        <f t="shared" si="19"/>
        <v>4118395.2746195383</v>
      </c>
      <c r="J155" s="22"/>
    </row>
    <row r="156" spans="2:10" x14ac:dyDescent="0.25">
      <c r="B156" s="524">
        <f t="shared" si="25"/>
        <v>2045</v>
      </c>
      <c r="C156" s="530">
        <f t="shared" si="25"/>
        <v>20</v>
      </c>
      <c r="D156" s="531">
        <f t="shared" si="20"/>
        <v>25</v>
      </c>
      <c r="E156" s="550">
        <f t="shared" si="21"/>
        <v>580699.81158172898</v>
      </c>
      <c r="F156" s="551">
        <f t="shared" si="22"/>
        <v>13670400.031428741</v>
      </c>
      <c r="G156" s="551">
        <f t="shared" si="23"/>
        <v>5369892.8228030922</v>
      </c>
      <c r="H156" s="439">
        <f t="shared" si="24"/>
        <v>19620992.665813562</v>
      </c>
      <c r="I156" s="199">
        <f t="shared" si="19"/>
        <v>3868212.384105267</v>
      </c>
      <c r="J156" s="22"/>
    </row>
    <row r="157" spans="2:10" x14ac:dyDescent="0.25">
      <c r="B157" s="521">
        <f t="shared" si="25"/>
        <v>2046</v>
      </c>
      <c r="C157" s="522">
        <f t="shared" si="25"/>
        <v>21</v>
      </c>
      <c r="D157" s="532">
        <f t="shared" si="20"/>
        <v>26</v>
      </c>
      <c r="E157" s="550">
        <f t="shared" si="21"/>
        <v>583603.31063963752</v>
      </c>
      <c r="F157" s="551">
        <f t="shared" si="22"/>
        <v>13738752.031585883</v>
      </c>
      <c r="G157" s="551">
        <f t="shared" si="23"/>
        <v>5396742.2869171072</v>
      </c>
      <c r="H157" s="439">
        <f t="shared" si="24"/>
        <v>19719097.629142627</v>
      </c>
      <c r="I157" s="199">
        <f t="shared" si="19"/>
        <v>3633227.5196502735</v>
      </c>
      <c r="J157" s="17"/>
    </row>
    <row r="158" spans="2:10" x14ac:dyDescent="0.25">
      <c r="B158" s="524">
        <f t="shared" si="25"/>
        <v>2047</v>
      </c>
      <c r="C158" s="530">
        <f t="shared" si="25"/>
        <v>22</v>
      </c>
      <c r="D158" s="531">
        <f t="shared" si="20"/>
        <v>27</v>
      </c>
      <c r="E158" s="550">
        <f t="shared" si="21"/>
        <v>586521.32719283563</v>
      </c>
      <c r="F158" s="551">
        <f t="shared" si="22"/>
        <v>13807445.791743806</v>
      </c>
      <c r="G158" s="551">
        <f t="shared" si="23"/>
        <v>5423725.9983516922</v>
      </c>
      <c r="H158" s="439">
        <f t="shared" si="24"/>
        <v>19817693.117288332</v>
      </c>
      <c r="I158" s="199">
        <f t="shared" si="19"/>
        <v>3412517.4366808631</v>
      </c>
    </row>
    <row r="159" spans="2:10" x14ac:dyDescent="0.25">
      <c r="B159" s="529">
        <f t="shared" si="25"/>
        <v>2048</v>
      </c>
      <c r="C159" s="530">
        <f t="shared" si="25"/>
        <v>23</v>
      </c>
      <c r="D159" s="531">
        <f t="shared" si="20"/>
        <v>28</v>
      </c>
      <c r="E159" s="550">
        <f t="shared" si="21"/>
        <v>589453.93382879964</v>
      </c>
      <c r="F159" s="551">
        <f t="shared" si="22"/>
        <v>13876483.020702524</v>
      </c>
      <c r="G159" s="551">
        <f t="shared" si="23"/>
        <v>5450844.628343448</v>
      </c>
      <c r="H159" s="439">
        <f t="shared" si="24"/>
        <v>19916781.582874771</v>
      </c>
      <c r="I159" s="199">
        <f t="shared" si="19"/>
        <v>3205214.9755740808</v>
      </c>
    </row>
    <row r="160" spans="2:10" x14ac:dyDescent="0.25">
      <c r="B160" s="524">
        <f t="shared" si="25"/>
        <v>2049</v>
      </c>
      <c r="C160" s="530">
        <f t="shared" si="25"/>
        <v>24</v>
      </c>
      <c r="D160" s="531">
        <f t="shared" si="20"/>
        <v>29</v>
      </c>
      <c r="E160" s="550">
        <f t="shared" si="21"/>
        <v>592401.20349794358</v>
      </c>
      <c r="F160" s="551">
        <f t="shared" si="22"/>
        <v>13945865.435806034</v>
      </c>
      <c r="G160" s="551">
        <f t="shared" si="23"/>
        <v>5478098.8514851648</v>
      </c>
      <c r="H160" s="439">
        <f t="shared" si="24"/>
        <v>20016365.490789145</v>
      </c>
      <c r="I160" s="199">
        <f t="shared" si="19"/>
        <v>3010505.6546279923</v>
      </c>
    </row>
    <row r="161" spans="2:9" x14ac:dyDescent="0.25">
      <c r="B161" s="529">
        <f t="shared" si="25"/>
        <v>2050</v>
      </c>
      <c r="C161" s="530">
        <f t="shared" si="25"/>
        <v>25</v>
      </c>
      <c r="D161" s="531">
        <f t="shared" si="20"/>
        <v>30</v>
      </c>
      <c r="E161" s="550">
        <f t="shared" si="21"/>
        <v>595363.20951543318</v>
      </c>
      <c r="F161" s="551">
        <f t="shared" si="22"/>
        <v>14015594.762985064</v>
      </c>
      <c r="G161" s="551">
        <f t="shared" si="23"/>
        <v>5505489.3457425907</v>
      </c>
      <c r="H161" s="439">
        <f t="shared" si="24"/>
        <v>20116447.318243086</v>
      </c>
      <c r="I161" s="199">
        <f t="shared" si="19"/>
        <v>2827624.4700010573</v>
      </c>
    </row>
    <row r="162" spans="2:9" x14ac:dyDescent="0.25">
      <c r="B162" s="524">
        <f t="shared" si="25"/>
        <v>2051</v>
      </c>
      <c r="C162" s="530">
        <f t="shared" si="25"/>
        <v>26</v>
      </c>
      <c r="D162" s="531">
        <f t="shared" si="20"/>
        <v>31</v>
      </c>
      <c r="E162" s="550">
        <f t="shared" si="21"/>
        <v>598340.02556301048</v>
      </c>
      <c r="F162" s="551">
        <f t="shared" si="22"/>
        <v>14085672.736799987</v>
      </c>
      <c r="G162" s="551">
        <f t="shared" si="23"/>
        <v>5533016.7924713036</v>
      </c>
      <c r="H162" s="439">
        <f t="shared" si="24"/>
        <v>20217029.554834303</v>
      </c>
      <c r="I162" s="199">
        <f t="shared" si="19"/>
        <v>2655852.8900477225</v>
      </c>
    </row>
    <row r="163" spans="2:9" x14ac:dyDescent="0.25">
      <c r="B163" s="529">
        <f t="shared" si="25"/>
        <v>2052</v>
      </c>
      <c r="C163" s="530">
        <f t="shared" si="25"/>
        <v>27</v>
      </c>
      <c r="D163" s="531">
        <f t="shared" si="20"/>
        <v>32</v>
      </c>
      <c r="E163" s="550">
        <f t="shared" si="21"/>
        <v>601331.72569082538</v>
      </c>
      <c r="F163" s="551">
        <f t="shared" si="22"/>
        <v>14156101.100483986</v>
      </c>
      <c r="G163" s="551">
        <f t="shared" si="23"/>
        <v>5560681.8764336603</v>
      </c>
      <c r="H163" s="439">
        <f t="shared" si="24"/>
        <v>20318114.70260847</v>
      </c>
      <c r="I163" s="199">
        <f t="shared" si="19"/>
        <v>2494516.0322410841</v>
      </c>
    </row>
    <row r="164" spans="2:9" x14ac:dyDescent="0.25">
      <c r="B164" s="524">
        <f t="shared" si="25"/>
        <v>2053</v>
      </c>
      <c r="C164" s="530">
        <f t="shared" si="25"/>
        <v>28</v>
      </c>
      <c r="D164" s="531">
        <f t="shared" si="20"/>
        <v>33</v>
      </c>
      <c r="E164" s="550">
        <f t="shared" si="21"/>
        <v>604338.38431927946</v>
      </c>
      <c r="F164" s="551">
        <f t="shared" si="22"/>
        <v>14226881.605986405</v>
      </c>
      <c r="G164" s="551">
        <f t="shared" si="23"/>
        <v>5588485.2858158275</v>
      </c>
      <c r="H164" s="439">
        <f t="shared" si="24"/>
        <v>20419705.276121512</v>
      </c>
      <c r="I164" s="199">
        <f t="shared" si="19"/>
        <v>2342980.011590925</v>
      </c>
    </row>
    <row r="165" spans="2:9" x14ac:dyDescent="0.25">
      <c r="B165" s="529">
        <f t="shared" si="25"/>
        <v>2054</v>
      </c>
      <c r="C165" s="530">
        <f t="shared" si="25"/>
        <v>29</v>
      </c>
      <c r="D165" s="531">
        <f t="shared" si="20"/>
        <v>34</v>
      </c>
      <c r="E165" s="550">
        <f t="shared" si="21"/>
        <v>607360.07624087553</v>
      </c>
      <c r="F165" s="551">
        <f t="shared" si="22"/>
        <v>14298016.014016334</v>
      </c>
      <c r="G165" s="551">
        <f t="shared" si="23"/>
        <v>5616427.7122449046</v>
      </c>
      <c r="H165" s="439">
        <f t="shared" si="24"/>
        <v>20521803.802502114</v>
      </c>
      <c r="I165" s="199">
        <f t="shared" si="19"/>
        <v>2200649.4501391393</v>
      </c>
    </row>
    <row r="166" spans="2:9" x14ac:dyDescent="0.25">
      <c r="B166" s="524">
        <f t="shared" si="25"/>
        <v>2055</v>
      </c>
      <c r="C166" s="530">
        <f t="shared" si="25"/>
        <v>30</v>
      </c>
      <c r="D166" s="531">
        <f t="shared" si="20"/>
        <v>35</v>
      </c>
      <c r="E166" s="550">
        <f t="shared" si="21"/>
        <v>610396.87662207999</v>
      </c>
      <c r="F166" s="551">
        <f t="shared" si="22"/>
        <v>14369506.094086412</v>
      </c>
      <c r="G166" s="551">
        <f t="shared" si="23"/>
        <v>5644509.8508061292</v>
      </c>
      <c r="H166" s="439">
        <f t="shared" si="24"/>
        <v>20624412.821514621</v>
      </c>
      <c r="I166" s="199">
        <f t="shared" si="19"/>
        <v>2066965.1377475092</v>
      </c>
    </row>
    <row r="167" spans="2:9" s="378" customFormat="1" x14ac:dyDescent="0.25">
      <c r="B167" s="533">
        <f t="shared" si="25"/>
        <v>2056</v>
      </c>
      <c r="C167" s="534">
        <f t="shared" si="25"/>
        <v>31</v>
      </c>
      <c r="D167" s="535">
        <f t="shared" si="20"/>
        <v>36</v>
      </c>
      <c r="E167" s="550">
        <f t="shared" si="21"/>
        <v>613448.86100519018</v>
      </c>
      <c r="F167" s="551">
        <f t="shared" si="22"/>
        <v>14441353.624556839</v>
      </c>
      <c r="G167" s="551">
        <f t="shared" si="23"/>
        <v>5672732.4000601573</v>
      </c>
      <c r="H167" s="439">
        <f t="shared" ref="H167:H168" si="26">SUM(E167:G167)</f>
        <v>20727534.885622188</v>
      </c>
      <c r="I167" s="440">
        <f t="shared" si="19"/>
        <v>1941401.8349871456</v>
      </c>
    </row>
    <row r="168" spans="2:9" s="378" customFormat="1" ht="15.75" thickBot="1" x14ac:dyDescent="0.3">
      <c r="B168" s="556">
        <f t="shared" si="25"/>
        <v>2057</v>
      </c>
      <c r="C168" s="537">
        <f t="shared" si="25"/>
        <v>32</v>
      </c>
      <c r="D168" s="538">
        <f t="shared" si="20"/>
        <v>37</v>
      </c>
      <c r="E168" s="557">
        <f t="shared" ref="E168:G168" si="27">L42</f>
        <v>616516.10531021608</v>
      </c>
      <c r="F168" s="558">
        <f t="shared" si="27"/>
        <v>14513560.392679619</v>
      </c>
      <c r="G168" s="558">
        <f t="shared" si="27"/>
        <v>5701096.0620604577</v>
      </c>
      <c r="H168" s="559">
        <f t="shared" si="26"/>
        <v>20831172.560050294</v>
      </c>
      <c r="I168" s="560">
        <f t="shared" si="19"/>
        <v>1823466.2094972718</v>
      </c>
    </row>
    <row r="169" spans="2:9" ht="15.75" thickBot="1" x14ac:dyDescent="0.3">
      <c r="B169" s="552"/>
      <c r="C169" s="553"/>
      <c r="D169" s="554"/>
      <c r="E169" s="555">
        <f>SUM(E134:E168)</f>
        <v>18280195.713925105</v>
      </c>
      <c r="F169" s="555">
        <f>SUM(F134:F168)</f>
        <v>430338675.98731637</v>
      </c>
      <c r="G169" s="555">
        <f>SUM(G134:G168)</f>
        <v>169042058.91898522</v>
      </c>
      <c r="H169" s="8">
        <f>SUM(H134:H168)</f>
        <v>617660930.62022662</v>
      </c>
      <c r="I169" s="50">
        <f>SUM(I134:I168)</f>
        <v>181274237.57993054</v>
      </c>
    </row>
  </sheetData>
  <mergeCells count="26">
    <mergeCell ref="L88:N88"/>
    <mergeCell ref="B130:B131"/>
    <mergeCell ref="C130:C131"/>
    <mergeCell ref="D130:D131"/>
    <mergeCell ref="E130:H130"/>
    <mergeCell ref="I130:I131"/>
    <mergeCell ref="B88:B89"/>
    <mergeCell ref="C88:C89"/>
    <mergeCell ref="D88:D89"/>
    <mergeCell ref="E88:E89"/>
    <mergeCell ref="F88:H88"/>
    <mergeCell ref="I88:K88"/>
    <mergeCell ref="L4:N4"/>
    <mergeCell ref="B46:B47"/>
    <mergeCell ref="C46:C47"/>
    <mergeCell ref="D46:D47"/>
    <mergeCell ref="E46:E47"/>
    <mergeCell ref="F46:H46"/>
    <mergeCell ref="I46:K46"/>
    <mergeCell ref="L46:N46"/>
    <mergeCell ref="B4:B5"/>
    <mergeCell ref="C4:C5"/>
    <mergeCell ref="D4:D5"/>
    <mergeCell ref="E4:E5"/>
    <mergeCell ref="F4:H4"/>
    <mergeCell ref="I4:K4"/>
  </mergeCells>
  <pageMargins left="0.7" right="0.7" top="0.75" bottom="0.75" header="0.3" footer="0.3"/>
  <pageSetup scale="72" orientation="landscape" horizontalDpi="300" verticalDpi="300" r:id="rId1"/>
  <headerFooter>
    <oddHeader>&amp;LBCA Analysis&amp;CI-680 Highway Preservation</oddHeader>
    <oddFooter>&amp;RPage  7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BCA Summary</vt:lpstr>
      <vt:lpstr>Cost-Solano</vt:lpstr>
      <vt:lpstr>Accidents-Solano</vt:lpstr>
      <vt:lpstr>Cost-Bridge</vt:lpstr>
      <vt:lpstr>Accidents-Bridge</vt:lpstr>
      <vt:lpstr>Cost-Alcosta</vt:lpstr>
      <vt:lpstr>Accidents-Alcosta</vt:lpstr>
      <vt:lpstr>Project Cost-Storm</vt:lpstr>
      <vt:lpstr>Prevented Accident Savings-Stor</vt:lpstr>
      <vt:lpstr>Collision Data-Storm </vt:lpstr>
      <vt:lpstr>Parameters-Storm</vt:lpstr>
      <vt:lpstr>'BCA Summary'!Print_Area</vt:lpstr>
      <vt:lpstr>'Collision Data-Storm '!Print_Area</vt:lpstr>
      <vt:lpstr>'Parameters-Storm'!Print_Area</vt:lpstr>
      <vt:lpstr>'Prevented Accident Savings-Stor'!Print_Area</vt:lpstr>
      <vt:lpstr>'Project Cost-Storm'!Print_Area</vt:lpstr>
    </vt:vector>
  </TitlesOfParts>
  <Manager/>
  <Company>Fehr &amp; Peers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Lisska</dc:creator>
  <cp:keywords/>
  <dc:description/>
  <cp:lastModifiedBy>Transportation</cp:lastModifiedBy>
  <cp:revision/>
  <cp:lastPrinted>2021-06-04T00:59:18Z</cp:lastPrinted>
  <dcterms:created xsi:type="dcterms:W3CDTF">2013-05-29T20:01:52Z</dcterms:created>
  <dcterms:modified xsi:type="dcterms:W3CDTF">2022-05-22T18:53:05Z</dcterms:modified>
  <cp:category/>
  <cp:contentStatus/>
</cp:coreProperties>
</file>