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Z:\aP1907190 - CCTA PPM 2019_2022 (CCTA)\Grants\MEGA 2022\BCA\BCA Final Files for Submission\"/>
    </mc:Choice>
  </mc:AlternateContent>
  <xr:revisionPtr revIDLastSave="0" documentId="8_{D9881B1A-2DB6-445E-8429-576ED2F0BD0A}" xr6:coauthVersionLast="47" xr6:coauthVersionMax="47" xr10:uidLastSave="{00000000-0000-0000-0000-000000000000}"/>
  <bookViews>
    <workbookView xWindow="28680" yWindow="-120" windowWidth="51840" windowHeight="21240" tabRatio="857" activeTab="8" xr2:uid="{4C0223CF-923E-41AF-8042-5CB046A790E5}"/>
  </bookViews>
  <sheets>
    <sheet name="BCA Summary" sheetId="50" r:id="rId1"/>
    <sheet name="Project Benefit Calculations" sheetId="52" r:id="rId2"/>
    <sheet name="Sheet1" sheetId="59" r:id="rId3"/>
    <sheet name="Project Cost Calculations" sheetId="47" r:id="rId4"/>
    <sheet name="MOD Cost Parameters" sheetId="55" r:id="rId5"/>
    <sheet name="CCTA Output and Adj Factors" sheetId="57" r:id="rId6"/>
    <sheet name="BCA Constants" sheetId="56" r:id="rId7"/>
    <sheet name="Notes" sheetId="54" r:id="rId8"/>
    <sheet name="Parameters" sheetId="58" r:id="rId9"/>
  </sheets>
  <definedNames>
    <definedName name="_xlnm.Print_Area" localSheetId="0">'BCA Summary'!$A$1:$D$17</definedName>
    <definedName name="_xlnm.Print_Area" localSheetId="8">Parameters!$A$1:$N$46</definedName>
    <definedName name="_xlnm.Print_Area" localSheetId="1">'Project Benefit Calculations'!$A$1:$BZ$45</definedName>
    <definedName name="_xlnm.Print_Area" localSheetId="3">'Project Cost Calculations'!$A$1:$I$57</definedName>
    <definedName name="_xlnm.Print_Titles" localSheetId="5">'CCTA Output and Adj Factors'!$2:$3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50" l="1"/>
  <c r="B12" i="50"/>
  <c r="C11" i="50"/>
  <c r="B11" i="50"/>
  <c r="CF40" i="52"/>
  <c r="CF39" i="52"/>
  <c r="CF38" i="52"/>
  <c r="CF37" i="52"/>
  <c r="CF36" i="52"/>
  <c r="CF35" i="52"/>
  <c r="CF34" i="52"/>
  <c r="CF33" i="52"/>
  <c r="CG33" i="52" s="1"/>
  <c r="CF32" i="52"/>
  <c r="CF31" i="52"/>
  <c r="CF30" i="52"/>
  <c r="CF29" i="52"/>
  <c r="CF28" i="52"/>
  <c r="CF27" i="52"/>
  <c r="CF26" i="52"/>
  <c r="CF25" i="52"/>
  <c r="CG25" i="52" s="1"/>
  <c r="CF24" i="52"/>
  <c r="CF23" i="52"/>
  <c r="CF22" i="52"/>
  <c r="CF21" i="52"/>
  <c r="CF20" i="52"/>
  <c r="CF19" i="52"/>
  <c r="CF18" i="52"/>
  <c r="CF17" i="52"/>
  <c r="CG17" i="52" s="1"/>
  <c r="CF16" i="52"/>
  <c r="CF15" i="52"/>
  <c r="CF14" i="52"/>
  <c r="CF13" i="52"/>
  <c r="CF12" i="52"/>
  <c r="CF11" i="52"/>
  <c r="CF10" i="52"/>
  <c r="CG10" i="52"/>
  <c r="CD40" i="52"/>
  <c r="CD39" i="52"/>
  <c r="CD38" i="52"/>
  <c r="CD37" i="52"/>
  <c r="CD36" i="52"/>
  <c r="CD35" i="52"/>
  <c r="CE35" i="52" s="1"/>
  <c r="CD34" i="52"/>
  <c r="CD33" i="52"/>
  <c r="CD32" i="52"/>
  <c r="CD31" i="52"/>
  <c r="CD30" i="52"/>
  <c r="CD29" i="52"/>
  <c r="CD28" i="52"/>
  <c r="CD27" i="52"/>
  <c r="CD26" i="52"/>
  <c r="CD25" i="52"/>
  <c r="CE25" i="52" s="1"/>
  <c r="CD24" i="52"/>
  <c r="CD23" i="52"/>
  <c r="CD22" i="52"/>
  <c r="CD21" i="52"/>
  <c r="CD20" i="52"/>
  <c r="CD19" i="52"/>
  <c r="CD18" i="52"/>
  <c r="CD17" i="52"/>
  <c r="CE17" i="52" s="1"/>
  <c r="CD16" i="52"/>
  <c r="CD15" i="52"/>
  <c r="CD14" i="52"/>
  <c r="CD13" i="52"/>
  <c r="CD12" i="52"/>
  <c r="CD11" i="52"/>
  <c r="CE11" i="52" s="1"/>
  <c r="CD10" i="52"/>
  <c r="CE10" i="52" s="1"/>
  <c r="CE33" i="52"/>
  <c r="CE40" i="52"/>
  <c r="CE37" i="52"/>
  <c r="CE32" i="52"/>
  <c r="CE27" i="52"/>
  <c r="CE24" i="52"/>
  <c r="CE19" i="52"/>
  <c r="CE16" i="52"/>
  <c r="CE13" i="52"/>
  <c r="CG40" i="52"/>
  <c r="CG39" i="52"/>
  <c r="CG38" i="52"/>
  <c r="CG37" i="52"/>
  <c r="CG36" i="52"/>
  <c r="CG35" i="52"/>
  <c r="CG34" i="52"/>
  <c r="CG32" i="52"/>
  <c r="CG31" i="52"/>
  <c r="CG30" i="52"/>
  <c r="CG29" i="52"/>
  <c r="CG28" i="52"/>
  <c r="CG27" i="52"/>
  <c r="CG26" i="52"/>
  <c r="CG24" i="52"/>
  <c r="CG23" i="52"/>
  <c r="CG22" i="52"/>
  <c r="CG21" i="52"/>
  <c r="CG20" i="52"/>
  <c r="CG19" i="52"/>
  <c r="CG18" i="52"/>
  <c r="CG16" i="52"/>
  <c r="CG15" i="52"/>
  <c r="CG14" i="52"/>
  <c r="CG13" i="52"/>
  <c r="CG12" i="52"/>
  <c r="CG11" i="52"/>
  <c r="CE39" i="52"/>
  <c r="CE38" i="52"/>
  <c r="CE36" i="52"/>
  <c r="CE34" i="52"/>
  <c r="CE31" i="52"/>
  <c r="CE30" i="52"/>
  <c r="CE29" i="52"/>
  <c r="CE28" i="52"/>
  <c r="CE26" i="52"/>
  <c r="CE23" i="52"/>
  <c r="CE22" i="52"/>
  <c r="CE21" i="52"/>
  <c r="CE20" i="52"/>
  <c r="CE18" i="52"/>
  <c r="CE15" i="52"/>
  <c r="CE14" i="52"/>
  <c r="CE12" i="52"/>
  <c r="AG5" i="55"/>
  <c r="AG6" i="55"/>
  <c r="AG7" i="55"/>
  <c r="AG8" i="55"/>
  <c r="AG9" i="55"/>
  <c r="AG10" i="55"/>
  <c r="AG11" i="55"/>
  <c r="AG12" i="55"/>
  <c r="AG13" i="55"/>
  <c r="AG14" i="55"/>
  <c r="AG15" i="55"/>
  <c r="AG16" i="55"/>
  <c r="AG17" i="55"/>
  <c r="AG18" i="55"/>
  <c r="AG4" i="55"/>
  <c r="Z5" i="55"/>
  <c r="Z19" i="55" s="1"/>
  <c r="AA5" i="55"/>
  <c r="AB5" i="55"/>
  <c r="AC5" i="55"/>
  <c r="AD5" i="55"/>
  <c r="AE5" i="55"/>
  <c r="Z6" i="55"/>
  <c r="AA6" i="55"/>
  <c r="AB6" i="55"/>
  <c r="AB19" i="55" s="1"/>
  <c r="AC6" i="55"/>
  <c r="AD6" i="55"/>
  <c r="AE6" i="55"/>
  <c r="Z7" i="55"/>
  <c r="AA7" i="55"/>
  <c r="AA19" i="55" s="1"/>
  <c r="AB7" i="55"/>
  <c r="AC7" i="55"/>
  <c r="AC19" i="55" s="1"/>
  <c r="AD7" i="55"/>
  <c r="AE7" i="55"/>
  <c r="Z8" i="55"/>
  <c r="AA8" i="55"/>
  <c r="AB8" i="55"/>
  <c r="AC8" i="55"/>
  <c r="AD8" i="55"/>
  <c r="AE8" i="55"/>
  <c r="Z9" i="55"/>
  <c r="AA9" i="55"/>
  <c r="AB9" i="55"/>
  <c r="AC9" i="55"/>
  <c r="AD9" i="55"/>
  <c r="AE9" i="55"/>
  <c r="Z10" i="55"/>
  <c r="AA10" i="55"/>
  <c r="AB10" i="55"/>
  <c r="AC10" i="55"/>
  <c r="AD10" i="55"/>
  <c r="AE10" i="55"/>
  <c r="Z11" i="55"/>
  <c r="AA11" i="55"/>
  <c r="AB11" i="55"/>
  <c r="AC11" i="55"/>
  <c r="AD11" i="55"/>
  <c r="AE11" i="55"/>
  <c r="Z12" i="55"/>
  <c r="AA12" i="55"/>
  <c r="AB12" i="55"/>
  <c r="AC12" i="55"/>
  <c r="AD12" i="55"/>
  <c r="AE12" i="55"/>
  <c r="Z13" i="55"/>
  <c r="AA13" i="55"/>
  <c r="AB13" i="55"/>
  <c r="AC13" i="55"/>
  <c r="AD13" i="55"/>
  <c r="AE13" i="55"/>
  <c r="Z14" i="55"/>
  <c r="AA14" i="55"/>
  <c r="AB14" i="55"/>
  <c r="AC14" i="55"/>
  <c r="AD14" i="55"/>
  <c r="AE14" i="55"/>
  <c r="Z15" i="55"/>
  <c r="AA15" i="55"/>
  <c r="AB15" i="55"/>
  <c r="AC15" i="55"/>
  <c r="AD15" i="55"/>
  <c r="AE15" i="55"/>
  <c r="AA4" i="55"/>
  <c r="AB4" i="55"/>
  <c r="AC4" i="55"/>
  <c r="AD4" i="55"/>
  <c r="AE4" i="55"/>
  <c r="Z4" i="55"/>
  <c r="E19" i="55"/>
  <c r="F19" i="55"/>
  <c r="G19" i="55"/>
  <c r="D19" i="55"/>
  <c r="L19" i="55"/>
  <c r="I19" i="55"/>
  <c r="AH5" i="55"/>
  <c r="AH6" i="55"/>
  <c r="AH7" i="55"/>
  <c r="AH8" i="55"/>
  <c r="AH9" i="55"/>
  <c r="AH10" i="55"/>
  <c r="AH11" i="55"/>
  <c r="AH12" i="55"/>
  <c r="AH13" i="55"/>
  <c r="AH14" i="55"/>
  <c r="AH15" i="55"/>
  <c r="AH16" i="55"/>
  <c r="AH17" i="55"/>
  <c r="AH18" i="55"/>
  <c r="AH4" i="55"/>
  <c r="G14" i="47"/>
  <c r="G13" i="47"/>
  <c r="G12" i="47"/>
  <c r="F15" i="47"/>
  <c r="F14" i="47"/>
  <c r="F13" i="47"/>
  <c r="F12" i="47"/>
  <c r="C13" i="47"/>
  <c r="C12" i="47"/>
  <c r="B13" i="47"/>
  <c r="B12" i="47"/>
  <c r="G9" i="47"/>
  <c r="F9" i="47"/>
  <c r="F10" i="47" s="1"/>
  <c r="C9" i="47"/>
  <c r="B9" i="47"/>
  <c r="G10" i="47"/>
  <c r="C10" i="47"/>
  <c r="B10" i="47"/>
  <c r="G40" i="58"/>
  <c r="G41" i="58" s="1"/>
  <c r="G42" i="58" s="1"/>
  <c r="G43" i="58" s="1"/>
  <c r="G44" i="58" s="1"/>
  <c r="G39" i="58"/>
  <c r="M6" i="58"/>
  <c r="M7" i="58" s="1"/>
  <c r="M8" i="58" s="1"/>
  <c r="M9" i="58" s="1"/>
  <c r="M10" i="58" s="1"/>
  <c r="M11" i="58" s="1"/>
  <c r="M12" i="58" s="1"/>
  <c r="M13" i="58" s="1"/>
  <c r="M14" i="58" s="1"/>
  <c r="M15" i="58" s="1"/>
  <c r="M16" i="58" s="1"/>
  <c r="M17" i="58" s="1"/>
  <c r="M18" i="58" s="1"/>
  <c r="M19" i="58" s="1"/>
  <c r="M20" i="58" s="1"/>
  <c r="M21" i="58" s="1"/>
  <c r="M22" i="58" s="1"/>
  <c r="M23" i="58" s="1"/>
  <c r="M24" i="58" s="1"/>
  <c r="M25" i="58" s="1"/>
  <c r="M26" i="58" s="1"/>
  <c r="M27" i="58" s="1"/>
  <c r="M28" i="58" s="1"/>
  <c r="M29" i="58" s="1"/>
  <c r="M30" i="58" s="1"/>
  <c r="M31" i="58" s="1"/>
  <c r="M32" i="58" s="1"/>
  <c r="M33" i="58" s="1"/>
  <c r="M34" i="58" s="1"/>
  <c r="M35" i="58" s="1"/>
  <c r="M36" i="58" s="1"/>
  <c r="M37" i="58" s="1"/>
  <c r="M38" i="58" s="1"/>
  <c r="M39" i="58" s="1"/>
  <c r="M40" i="58" s="1"/>
  <c r="M41" i="58" s="1"/>
  <c r="M42" i="58" s="1"/>
  <c r="M43" i="58" s="1"/>
  <c r="AG19" i="55" l="1"/>
  <c r="AD19" i="55"/>
  <c r="AE19" i="55"/>
  <c r="G33" i="47" l="1"/>
  <c r="G34" i="47"/>
  <c r="G35" i="47"/>
  <c r="G32" i="47"/>
  <c r="F34" i="47"/>
  <c r="C33" i="47"/>
  <c r="C32" i="47"/>
  <c r="B33" i="47"/>
  <c r="B32" i="47"/>
  <c r="G23" i="47"/>
  <c r="G24" i="47"/>
  <c r="G22" i="47"/>
  <c r="F22" i="47"/>
  <c r="C23" i="47"/>
  <c r="C22" i="47"/>
  <c r="B23" i="47"/>
  <c r="B22" i="47"/>
  <c r="H14" i="47"/>
  <c r="I14" i="47" s="1"/>
  <c r="H16" i="47"/>
  <c r="F35" i="47"/>
  <c r="F24" i="47"/>
  <c r="F33" i="47"/>
  <c r="F32" i="47"/>
  <c r="AZ29" i="52"/>
  <c r="BJ29" i="52" s="1"/>
  <c r="AZ30" i="52"/>
  <c r="BJ30" i="52" s="1"/>
  <c r="AZ31" i="52"/>
  <c r="BJ31" i="52" s="1"/>
  <c r="AZ32" i="52"/>
  <c r="BJ32" i="52" s="1"/>
  <c r="AZ33" i="52"/>
  <c r="BJ33" i="52" s="1"/>
  <c r="AZ34" i="52"/>
  <c r="BJ34" i="52" s="1"/>
  <c r="AZ35" i="52"/>
  <c r="BA35" i="52" s="1"/>
  <c r="BK35" i="52" s="1"/>
  <c r="AZ36" i="52"/>
  <c r="BJ36" i="52" s="1"/>
  <c r="AZ37" i="52"/>
  <c r="BJ37" i="52" s="1"/>
  <c r="AZ38" i="52"/>
  <c r="BJ38" i="52" s="1"/>
  <c r="AZ39" i="52"/>
  <c r="BJ39" i="52" s="1"/>
  <c r="AZ40" i="52"/>
  <c r="BJ40" i="52" s="1"/>
  <c r="AZ28" i="52"/>
  <c r="AZ27" i="52"/>
  <c r="AZ12" i="52"/>
  <c r="AZ13" i="52"/>
  <c r="BJ13" i="52" s="1"/>
  <c r="AZ14" i="52"/>
  <c r="BJ14" i="52" s="1"/>
  <c r="AZ15" i="52"/>
  <c r="AZ16" i="52"/>
  <c r="BJ16" i="52" s="1"/>
  <c r="AZ17" i="52"/>
  <c r="BJ17" i="52" s="1"/>
  <c r="AZ18" i="52"/>
  <c r="BJ18" i="52" s="1"/>
  <c r="AZ19" i="52"/>
  <c r="BA19" i="52" s="1"/>
  <c r="BK19" i="52" s="1"/>
  <c r="AZ20" i="52"/>
  <c r="BA20" i="52" s="1"/>
  <c r="BK20" i="52" s="1"/>
  <c r="AZ21" i="52"/>
  <c r="BJ21" i="52" s="1"/>
  <c r="AZ22" i="52"/>
  <c r="BJ22" i="52" s="1"/>
  <c r="AZ23" i="52"/>
  <c r="BJ23" i="52" s="1"/>
  <c r="AZ24" i="52"/>
  <c r="BJ24" i="52" s="1"/>
  <c r="AZ25" i="52"/>
  <c r="BJ25" i="52" s="1"/>
  <c r="AZ26" i="52"/>
  <c r="BJ26" i="52" s="1"/>
  <c r="AZ11" i="52"/>
  <c r="BA11" i="52" s="1"/>
  <c r="BK11" i="52" s="1"/>
  <c r="AZ10" i="52"/>
  <c r="AZ7" i="52"/>
  <c r="BJ7" i="52" s="1"/>
  <c r="AZ8" i="52"/>
  <c r="BJ8" i="52" s="1"/>
  <c r="AZ9" i="52"/>
  <c r="BJ9" i="52" s="1"/>
  <c r="AZ6" i="52"/>
  <c r="BF6" i="52" s="1"/>
  <c r="AZ5" i="52"/>
  <c r="BH5" i="52" s="1"/>
  <c r="AX29" i="52"/>
  <c r="AX30" i="52"/>
  <c r="AX31" i="52"/>
  <c r="AX32" i="52"/>
  <c r="AX33" i="52"/>
  <c r="AX34" i="52"/>
  <c r="AX35" i="52"/>
  <c r="AX36" i="52"/>
  <c r="AX37" i="52"/>
  <c r="AX38" i="52"/>
  <c r="AX39" i="52"/>
  <c r="AX40" i="52"/>
  <c r="AX28" i="52"/>
  <c r="AX27" i="52"/>
  <c r="AX12" i="52"/>
  <c r="AX13" i="52"/>
  <c r="AX14" i="52"/>
  <c r="AX15" i="52"/>
  <c r="AX16" i="52"/>
  <c r="AX17" i="52"/>
  <c r="AX18" i="52"/>
  <c r="AX19" i="52"/>
  <c r="AX20" i="52"/>
  <c r="AX21" i="52"/>
  <c r="AX22" i="52"/>
  <c r="AX23" i="52"/>
  <c r="AX24" i="52"/>
  <c r="AX25" i="52"/>
  <c r="AX26" i="52"/>
  <c r="AX11" i="52"/>
  <c r="AX10" i="52"/>
  <c r="AX7" i="52"/>
  <c r="AX8" i="52"/>
  <c r="AX9" i="52"/>
  <c r="AX6" i="52"/>
  <c r="AX5" i="52"/>
  <c r="AV29" i="52"/>
  <c r="AV30" i="52"/>
  <c r="AV31" i="52"/>
  <c r="AV32" i="52"/>
  <c r="AV33" i="52"/>
  <c r="AV34" i="52"/>
  <c r="AV35" i="52"/>
  <c r="AV36" i="52"/>
  <c r="AV37" i="52"/>
  <c r="AV38" i="52"/>
  <c r="AV39" i="52"/>
  <c r="AV40" i="52"/>
  <c r="AV28" i="52"/>
  <c r="AV27" i="52"/>
  <c r="AV12" i="52"/>
  <c r="AV13" i="52"/>
  <c r="AV14" i="52"/>
  <c r="AV15" i="52"/>
  <c r="AV16" i="52"/>
  <c r="AV17" i="52"/>
  <c r="AV18" i="52"/>
  <c r="AV19" i="52"/>
  <c r="AV20" i="52"/>
  <c r="AV21" i="52"/>
  <c r="AV22" i="52"/>
  <c r="AV23" i="52"/>
  <c r="AV24" i="52"/>
  <c r="AV25" i="52"/>
  <c r="AV26" i="52"/>
  <c r="AV11" i="52"/>
  <c r="AV10" i="52"/>
  <c r="AV7" i="52"/>
  <c r="AV8" i="52"/>
  <c r="AV9" i="52"/>
  <c r="AV6" i="52"/>
  <c r="AV5" i="52"/>
  <c r="AF29" i="52"/>
  <c r="AF30" i="52"/>
  <c r="AF31" i="52"/>
  <c r="AF32" i="52"/>
  <c r="AF33" i="52"/>
  <c r="AF34" i="52"/>
  <c r="AF35" i="52"/>
  <c r="AF36" i="52"/>
  <c r="AF37" i="52"/>
  <c r="AF38" i="52"/>
  <c r="AF39" i="52"/>
  <c r="AF40" i="52"/>
  <c r="AF28" i="52"/>
  <c r="AF27" i="52"/>
  <c r="AF22" i="52"/>
  <c r="AF23" i="52"/>
  <c r="AF24" i="52"/>
  <c r="AF25" i="52"/>
  <c r="AF26" i="52"/>
  <c r="AF21" i="52"/>
  <c r="AF20" i="52"/>
  <c r="AF12" i="52"/>
  <c r="AF13" i="52"/>
  <c r="AF14" i="52"/>
  <c r="AF15" i="52"/>
  <c r="AF16" i="52"/>
  <c r="AF17" i="52"/>
  <c r="AF18" i="52"/>
  <c r="AF19" i="52"/>
  <c r="AF11" i="52"/>
  <c r="AF10" i="52"/>
  <c r="AF7" i="52"/>
  <c r="AF8" i="52"/>
  <c r="AF9" i="52"/>
  <c r="AF6" i="52"/>
  <c r="AF5" i="52"/>
  <c r="AD29" i="52"/>
  <c r="AD30" i="52"/>
  <c r="AD31" i="52"/>
  <c r="AD32" i="52"/>
  <c r="AD33" i="52"/>
  <c r="AD34" i="52"/>
  <c r="AD35" i="52"/>
  <c r="AD36" i="52"/>
  <c r="AD37" i="52"/>
  <c r="AD38" i="52"/>
  <c r="AD39" i="52"/>
  <c r="AD40" i="52"/>
  <c r="AD28" i="52"/>
  <c r="AD27" i="52"/>
  <c r="AD20" i="52"/>
  <c r="AD21" i="52"/>
  <c r="AD22" i="52"/>
  <c r="AD23" i="52"/>
  <c r="AD24" i="52"/>
  <c r="AD25" i="52"/>
  <c r="AD26" i="52"/>
  <c r="AD12" i="52"/>
  <c r="AD13" i="52"/>
  <c r="AD14" i="52"/>
  <c r="AD15" i="52"/>
  <c r="AD16" i="52"/>
  <c r="AD17" i="52"/>
  <c r="AD18" i="52"/>
  <c r="AD19" i="52"/>
  <c r="AD11" i="52"/>
  <c r="AD10" i="52"/>
  <c r="AD7" i="52"/>
  <c r="AD8" i="52"/>
  <c r="AD9" i="52"/>
  <c r="AD6" i="52"/>
  <c r="AD5" i="52"/>
  <c r="AB29" i="52"/>
  <c r="AB30" i="52"/>
  <c r="AB31" i="52"/>
  <c r="AB32" i="52"/>
  <c r="AB33" i="52"/>
  <c r="AB34" i="52"/>
  <c r="AB35" i="52"/>
  <c r="AB36" i="52"/>
  <c r="AB37" i="52"/>
  <c r="AB38" i="52"/>
  <c r="AB39" i="52"/>
  <c r="AB40" i="52"/>
  <c r="AB28" i="52"/>
  <c r="AB27" i="52"/>
  <c r="AB12" i="52"/>
  <c r="AB13" i="52"/>
  <c r="AB14" i="52"/>
  <c r="AB15" i="52"/>
  <c r="AB16" i="52"/>
  <c r="AB17" i="52"/>
  <c r="AB18" i="52"/>
  <c r="AB19" i="52"/>
  <c r="AB20" i="52"/>
  <c r="AB21" i="52"/>
  <c r="AB22" i="52"/>
  <c r="AB23" i="52"/>
  <c r="AB24" i="52"/>
  <c r="AB25" i="52"/>
  <c r="AB26" i="52"/>
  <c r="AB11" i="52"/>
  <c r="AB10" i="52"/>
  <c r="AB7" i="52"/>
  <c r="AB8" i="52"/>
  <c r="AB9" i="52"/>
  <c r="AB6" i="52"/>
  <c r="AB5" i="52"/>
  <c r="Z29" i="52"/>
  <c r="Z30" i="52"/>
  <c r="Z31" i="52"/>
  <c r="Z32" i="52"/>
  <c r="Z33" i="52"/>
  <c r="Z34" i="52"/>
  <c r="Z35" i="52"/>
  <c r="Z36" i="52"/>
  <c r="Z37" i="52"/>
  <c r="Z38" i="52"/>
  <c r="Z39" i="52"/>
  <c r="Z40" i="52"/>
  <c r="Z28" i="52"/>
  <c r="Z27" i="52"/>
  <c r="Z12" i="52"/>
  <c r="Z13" i="52"/>
  <c r="Z14" i="52"/>
  <c r="Z15" i="52"/>
  <c r="Z16" i="52"/>
  <c r="Z17" i="52"/>
  <c r="Z18" i="52"/>
  <c r="Z19" i="52"/>
  <c r="Z20" i="52"/>
  <c r="Z21" i="52"/>
  <c r="Z22" i="52"/>
  <c r="Z23" i="52"/>
  <c r="Z24" i="52"/>
  <c r="Z25" i="52"/>
  <c r="Z26" i="52"/>
  <c r="Z11" i="52"/>
  <c r="Z10" i="52"/>
  <c r="Z7" i="52"/>
  <c r="Z8" i="52"/>
  <c r="Z9" i="52"/>
  <c r="Z6" i="52"/>
  <c r="Z5" i="52"/>
  <c r="X29" i="52"/>
  <c r="X30" i="52"/>
  <c r="X31" i="52"/>
  <c r="X32" i="52"/>
  <c r="X33" i="52"/>
  <c r="X34" i="52"/>
  <c r="X35" i="52"/>
  <c r="X36" i="52"/>
  <c r="X37" i="52"/>
  <c r="X38" i="52"/>
  <c r="X39" i="52"/>
  <c r="X40" i="52"/>
  <c r="X28" i="52"/>
  <c r="X27" i="52"/>
  <c r="X12" i="52"/>
  <c r="X13" i="52"/>
  <c r="X14" i="52"/>
  <c r="X15" i="52"/>
  <c r="X16" i="52"/>
  <c r="X17" i="52"/>
  <c r="X18" i="52"/>
  <c r="X19" i="52"/>
  <c r="X20" i="52"/>
  <c r="X21" i="52"/>
  <c r="X22" i="52"/>
  <c r="X23" i="52"/>
  <c r="X24" i="52"/>
  <c r="X25" i="52"/>
  <c r="X26" i="52"/>
  <c r="X11" i="52"/>
  <c r="X10" i="52"/>
  <c r="X7" i="52"/>
  <c r="X8" i="52"/>
  <c r="X9" i="52"/>
  <c r="X6" i="52"/>
  <c r="X5" i="52"/>
  <c r="V6" i="52"/>
  <c r="V7" i="52"/>
  <c r="V8" i="52"/>
  <c r="V9" i="52"/>
  <c r="V10" i="52"/>
  <c r="V11" i="52"/>
  <c r="V12" i="52"/>
  <c r="V13" i="52"/>
  <c r="V14" i="52"/>
  <c r="V15" i="52"/>
  <c r="V16" i="52"/>
  <c r="V17" i="52"/>
  <c r="V18" i="52"/>
  <c r="V19" i="52"/>
  <c r="V20" i="52"/>
  <c r="V21" i="52"/>
  <c r="V22" i="52"/>
  <c r="V23" i="52"/>
  <c r="V24" i="52"/>
  <c r="V25" i="52"/>
  <c r="V26" i="52"/>
  <c r="V27" i="52"/>
  <c r="V28" i="52"/>
  <c r="V29" i="52"/>
  <c r="V30" i="52"/>
  <c r="V31" i="52"/>
  <c r="V32" i="52"/>
  <c r="V33" i="52"/>
  <c r="V34" i="52"/>
  <c r="V35" i="52"/>
  <c r="V36" i="52"/>
  <c r="V37" i="52"/>
  <c r="V38" i="52"/>
  <c r="V39" i="52"/>
  <c r="V40" i="52"/>
  <c r="V5" i="52"/>
  <c r="T29" i="52"/>
  <c r="T30" i="52"/>
  <c r="T31" i="52"/>
  <c r="T32" i="52"/>
  <c r="T33" i="52"/>
  <c r="T34" i="52"/>
  <c r="T35" i="52"/>
  <c r="T36" i="52"/>
  <c r="T37" i="52"/>
  <c r="T38" i="52"/>
  <c r="T39" i="52"/>
  <c r="T40" i="52"/>
  <c r="T28" i="52"/>
  <c r="T27" i="52"/>
  <c r="T12" i="52"/>
  <c r="T13" i="52"/>
  <c r="T14" i="52"/>
  <c r="T15" i="52"/>
  <c r="T16" i="52"/>
  <c r="T17" i="52"/>
  <c r="T18" i="52"/>
  <c r="T19" i="52"/>
  <c r="T20" i="52"/>
  <c r="T21" i="52"/>
  <c r="T22" i="52"/>
  <c r="T23" i="52"/>
  <c r="T24" i="52"/>
  <c r="T25" i="52"/>
  <c r="T26" i="52"/>
  <c r="T11" i="52"/>
  <c r="T10" i="52"/>
  <c r="T6" i="52"/>
  <c r="T7" i="52"/>
  <c r="T8" i="52"/>
  <c r="T9" i="52"/>
  <c r="T5" i="52"/>
  <c r="R29" i="52"/>
  <c r="R30" i="52"/>
  <c r="R31" i="52"/>
  <c r="R32" i="52"/>
  <c r="R33" i="52"/>
  <c r="R34" i="52"/>
  <c r="R35" i="52"/>
  <c r="R36" i="52"/>
  <c r="R37" i="52"/>
  <c r="R38" i="52"/>
  <c r="R39" i="52"/>
  <c r="R40" i="52"/>
  <c r="R28" i="52"/>
  <c r="R12" i="52"/>
  <c r="R13" i="52"/>
  <c r="R14" i="52"/>
  <c r="R15" i="52"/>
  <c r="R16" i="52"/>
  <c r="R17" i="52"/>
  <c r="R18" i="52"/>
  <c r="R19" i="52"/>
  <c r="R20" i="52"/>
  <c r="R21" i="52"/>
  <c r="R22" i="52"/>
  <c r="R23" i="52"/>
  <c r="R24" i="52"/>
  <c r="R25" i="52"/>
  <c r="R26" i="52"/>
  <c r="R11" i="52"/>
  <c r="R27" i="52"/>
  <c r="R10" i="52"/>
  <c r="R7" i="52"/>
  <c r="R8" i="52"/>
  <c r="R9" i="52"/>
  <c r="R6" i="52"/>
  <c r="R5" i="52"/>
  <c r="P29" i="52"/>
  <c r="P30" i="52"/>
  <c r="P31" i="52"/>
  <c r="P32" i="52"/>
  <c r="P33" i="52"/>
  <c r="P34" i="52"/>
  <c r="P35" i="52"/>
  <c r="P36" i="52"/>
  <c r="P37" i="52"/>
  <c r="P38" i="52"/>
  <c r="P39" i="52"/>
  <c r="P40" i="52"/>
  <c r="P28" i="52"/>
  <c r="P27" i="52"/>
  <c r="P12" i="52"/>
  <c r="P13" i="52"/>
  <c r="P14" i="52"/>
  <c r="P15" i="52"/>
  <c r="P16" i="52"/>
  <c r="P17" i="52"/>
  <c r="P18" i="52"/>
  <c r="P19" i="52"/>
  <c r="P20" i="52"/>
  <c r="P21" i="52"/>
  <c r="P22" i="52"/>
  <c r="P23" i="52"/>
  <c r="P24" i="52"/>
  <c r="P25" i="52"/>
  <c r="P26" i="52"/>
  <c r="P11" i="52"/>
  <c r="P10" i="52"/>
  <c r="P7" i="52"/>
  <c r="P8" i="52"/>
  <c r="P9" i="52"/>
  <c r="P6" i="52"/>
  <c r="P5" i="52"/>
  <c r="N29" i="52"/>
  <c r="N30" i="52"/>
  <c r="N31" i="52"/>
  <c r="N32" i="52"/>
  <c r="N33" i="52"/>
  <c r="N34" i="52"/>
  <c r="N35" i="52"/>
  <c r="N36" i="52"/>
  <c r="N37" i="52"/>
  <c r="N38" i="52"/>
  <c r="N39" i="52"/>
  <c r="N40" i="52"/>
  <c r="N28" i="52"/>
  <c r="N27" i="52"/>
  <c r="N12" i="52"/>
  <c r="N13" i="52"/>
  <c r="N14" i="52"/>
  <c r="N15" i="52"/>
  <c r="N16" i="52"/>
  <c r="N17" i="52"/>
  <c r="N18" i="52"/>
  <c r="N19" i="52"/>
  <c r="N20" i="52"/>
  <c r="N21" i="52"/>
  <c r="N22" i="52"/>
  <c r="N23" i="52"/>
  <c r="N24" i="52"/>
  <c r="N25" i="52"/>
  <c r="N26" i="52"/>
  <c r="N11" i="52"/>
  <c r="N10" i="52"/>
  <c r="N7" i="52"/>
  <c r="N8" i="52"/>
  <c r="N9" i="52"/>
  <c r="N6" i="52"/>
  <c r="N5" i="52"/>
  <c r="L29" i="52"/>
  <c r="L30" i="52"/>
  <c r="L31" i="52"/>
  <c r="L32" i="52"/>
  <c r="L33" i="52"/>
  <c r="L34" i="52"/>
  <c r="L35" i="52"/>
  <c r="L36" i="52"/>
  <c r="L37" i="52"/>
  <c r="L38" i="52"/>
  <c r="L39" i="52"/>
  <c r="L40" i="52"/>
  <c r="L28" i="52"/>
  <c r="L27" i="52"/>
  <c r="L12" i="52"/>
  <c r="L13" i="52"/>
  <c r="L14" i="52"/>
  <c r="L15" i="52"/>
  <c r="L16" i="52"/>
  <c r="L17" i="52"/>
  <c r="L18" i="52"/>
  <c r="L19" i="52"/>
  <c r="L20" i="52"/>
  <c r="L21" i="52"/>
  <c r="L22" i="52"/>
  <c r="L23" i="52"/>
  <c r="L24" i="52"/>
  <c r="L25" i="52"/>
  <c r="L26" i="52"/>
  <c r="L11" i="52"/>
  <c r="L10" i="52"/>
  <c r="L7" i="52"/>
  <c r="L8" i="52"/>
  <c r="L9" i="52"/>
  <c r="L6" i="52"/>
  <c r="L5" i="52"/>
  <c r="J29" i="52"/>
  <c r="J30" i="52"/>
  <c r="J31" i="52"/>
  <c r="J32" i="52"/>
  <c r="J33" i="52"/>
  <c r="J34" i="52"/>
  <c r="J35" i="52"/>
  <c r="J36" i="52"/>
  <c r="J37" i="52"/>
  <c r="J38" i="52"/>
  <c r="J39" i="52"/>
  <c r="J40" i="52"/>
  <c r="J28" i="52"/>
  <c r="J27" i="52"/>
  <c r="J12" i="52"/>
  <c r="J13" i="52"/>
  <c r="J14" i="52"/>
  <c r="J15" i="52"/>
  <c r="J16" i="52"/>
  <c r="J17" i="52"/>
  <c r="J18" i="52"/>
  <c r="J19" i="52"/>
  <c r="J20" i="52"/>
  <c r="J21" i="52"/>
  <c r="J22" i="52"/>
  <c r="J23" i="52"/>
  <c r="J24" i="52"/>
  <c r="J25" i="52"/>
  <c r="J26" i="52"/>
  <c r="J11" i="52"/>
  <c r="J10" i="52"/>
  <c r="J7" i="52"/>
  <c r="J8" i="52"/>
  <c r="J9" i="52"/>
  <c r="J6" i="52"/>
  <c r="J5" i="52"/>
  <c r="H29" i="52"/>
  <c r="H30" i="52"/>
  <c r="H31" i="52"/>
  <c r="H32" i="52"/>
  <c r="H33" i="52"/>
  <c r="H34" i="52"/>
  <c r="H35" i="52"/>
  <c r="H36" i="52"/>
  <c r="H37" i="52"/>
  <c r="H38" i="52"/>
  <c r="H39" i="52"/>
  <c r="H40" i="52"/>
  <c r="H28" i="52"/>
  <c r="H27" i="52"/>
  <c r="H12" i="52"/>
  <c r="H13" i="52"/>
  <c r="H14" i="52"/>
  <c r="H15" i="52"/>
  <c r="H16" i="52"/>
  <c r="H17" i="52"/>
  <c r="H18" i="52"/>
  <c r="H19" i="52"/>
  <c r="H20" i="52"/>
  <c r="H21" i="52"/>
  <c r="H22" i="52"/>
  <c r="H23" i="52"/>
  <c r="H24" i="52"/>
  <c r="H25" i="52"/>
  <c r="H26" i="52"/>
  <c r="H11" i="52"/>
  <c r="H10" i="52"/>
  <c r="H7" i="52"/>
  <c r="H8" i="52"/>
  <c r="H9" i="52"/>
  <c r="H6" i="52"/>
  <c r="H5" i="52"/>
  <c r="F29" i="52"/>
  <c r="F30" i="52"/>
  <c r="F31" i="52"/>
  <c r="F32" i="52"/>
  <c r="F33" i="52"/>
  <c r="F34" i="52"/>
  <c r="F35" i="52"/>
  <c r="F36" i="52"/>
  <c r="F37" i="52"/>
  <c r="F38" i="52"/>
  <c r="F39" i="52"/>
  <c r="F40" i="52"/>
  <c r="F28" i="52"/>
  <c r="F27" i="52"/>
  <c r="F12" i="52"/>
  <c r="F13" i="52"/>
  <c r="F14" i="52"/>
  <c r="F15" i="52"/>
  <c r="F16" i="52"/>
  <c r="F17" i="52"/>
  <c r="F18" i="52"/>
  <c r="F19" i="52"/>
  <c r="F20" i="52"/>
  <c r="F21" i="52"/>
  <c r="F22" i="52"/>
  <c r="F23" i="52"/>
  <c r="F24" i="52"/>
  <c r="F25" i="52"/>
  <c r="F26" i="52"/>
  <c r="F11" i="52"/>
  <c r="F10" i="52"/>
  <c r="F9" i="52"/>
  <c r="F7" i="52"/>
  <c r="F8" i="52"/>
  <c r="F6" i="52"/>
  <c r="F5" i="52"/>
  <c r="D29" i="52"/>
  <c r="D30" i="52"/>
  <c r="D31" i="52"/>
  <c r="D32" i="52"/>
  <c r="D33" i="52"/>
  <c r="D34" i="52"/>
  <c r="D35" i="52"/>
  <c r="D36" i="52"/>
  <c r="D37" i="52"/>
  <c r="D38" i="52"/>
  <c r="D39" i="52"/>
  <c r="D40" i="52"/>
  <c r="D28" i="52"/>
  <c r="D27" i="52"/>
  <c r="D21" i="52"/>
  <c r="D22" i="52"/>
  <c r="D23" i="52"/>
  <c r="D24" i="52"/>
  <c r="D25" i="52"/>
  <c r="D26" i="52"/>
  <c r="D20" i="52"/>
  <c r="D12" i="52"/>
  <c r="D13" i="52"/>
  <c r="D14" i="52"/>
  <c r="D15" i="52"/>
  <c r="D16" i="52"/>
  <c r="D17" i="52"/>
  <c r="D18" i="52"/>
  <c r="D19" i="52"/>
  <c r="D11" i="52"/>
  <c r="D10" i="52"/>
  <c r="D7" i="52"/>
  <c r="D8" i="52"/>
  <c r="D9" i="52"/>
  <c r="D6" i="52"/>
  <c r="D5" i="52"/>
  <c r="BA32" i="52"/>
  <c r="BI32" i="52" s="1"/>
  <c r="BA33" i="52"/>
  <c r="BI33" i="52" s="1"/>
  <c r="BA36" i="52"/>
  <c r="BK36" i="52" s="1"/>
  <c r="BA37" i="52"/>
  <c r="BK37" i="52" s="1"/>
  <c r="BA40" i="52"/>
  <c r="BI40" i="52" s="1"/>
  <c r="BA17" i="52"/>
  <c r="BI17" i="52" s="1"/>
  <c r="BA18" i="52"/>
  <c r="BK18" i="52" s="1"/>
  <c r="BA25" i="52"/>
  <c r="BI25" i="52" s="1"/>
  <c r="BA34" i="52" l="1"/>
  <c r="BK34" i="52" s="1"/>
  <c r="BA15" i="52"/>
  <c r="CB15" i="52" s="1"/>
  <c r="CC15" i="52" s="1"/>
  <c r="BA38" i="52"/>
  <c r="BA10" i="52"/>
  <c r="BX10" i="52" s="1"/>
  <c r="CB20" i="52"/>
  <c r="CC20" i="52" s="1"/>
  <c r="BA12" i="52"/>
  <c r="BR12" i="52" s="1"/>
  <c r="BS12" i="52" s="1"/>
  <c r="CB12" i="52"/>
  <c r="CC12" i="52" s="1"/>
  <c r="CB35" i="52"/>
  <c r="CC35" i="52" s="1"/>
  <c r="BF39" i="52"/>
  <c r="BF31" i="52"/>
  <c r="BF23" i="52"/>
  <c r="BF15" i="52"/>
  <c r="BF5" i="52"/>
  <c r="BH34" i="52"/>
  <c r="BH26" i="52"/>
  <c r="BH18" i="52"/>
  <c r="BH9" i="52"/>
  <c r="BJ6" i="52"/>
  <c r="BK33" i="52"/>
  <c r="BK25" i="52"/>
  <c r="BK17" i="52"/>
  <c r="CB11" i="52"/>
  <c r="CC11" i="52" s="1"/>
  <c r="CB19" i="52"/>
  <c r="CC19" i="52" s="1"/>
  <c r="BA27" i="52"/>
  <c r="CB27" i="52" s="1"/>
  <c r="CC27" i="52" s="1"/>
  <c r="BF38" i="52"/>
  <c r="BF30" i="52"/>
  <c r="BF22" i="52"/>
  <c r="BF14" i="52"/>
  <c r="BG37" i="52"/>
  <c r="BH10" i="52"/>
  <c r="BH33" i="52"/>
  <c r="BH25" i="52"/>
  <c r="BH17" i="52"/>
  <c r="BH8" i="52"/>
  <c r="BI37" i="52"/>
  <c r="BJ5" i="52"/>
  <c r="BK40" i="52"/>
  <c r="BK32" i="52"/>
  <c r="BA26" i="52"/>
  <c r="CB26" i="52" s="1"/>
  <c r="CC26" i="52" s="1"/>
  <c r="CB18" i="52"/>
  <c r="CC18" i="52" s="1"/>
  <c r="BA28" i="52"/>
  <c r="CB28" i="52"/>
  <c r="CC28" i="52" s="1"/>
  <c r="CB33" i="52"/>
  <c r="CC33" i="52" s="1"/>
  <c r="BF37" i="52"/>
  <c r="BF29" i="52"/>
  <c r="BF21" i="52"/>
  <c r="BF13" i="52"/>
  <c r="BG36" i="52"/>
  <c r="BG20" i="52"/>
  <c r="BH40" i="52"/>
  <c r="BH32" i="52"/>
  <c r="BH24" i="52"/>
  <c r="BH16" i="52"/>
  <c r="BH7" i="52"/>
  <c r="BI36" i="52"/>
  <c r="BI20" i="52"/>
  <c r="CB25" i="52"/>
  <c r="CC25" i="52" s="1"/>
  <c r="CB17" i="52"/>
  <c r="CC17" i="52" s="1"/>
  <c r="CB40" i="52"/>
  <c r="CC40" i="52" s="1"/>
  <c r="CB32" i="52"/>
  <c r="CC32" i="52" s="1"/>
  <c r="BF36" i="52"/>
  <c r="BF28" i="52"/>
  <c r="BF20" i="52"/>
  <c r="BF12" i="52"/>
  <c r="BG35" i="52"/>
  <c r="BG19" i="52"/>
  <c r="BG11" i="52"/>
  <c r="BH39" i="52"/>
  <c r="BH31" i="52"/>
  <c r="BH23" i="52"/>
  <c r="BH15" i="52"/>
  <c r="BH6" i="52"/>
  <c r="BI35" i="52"/>
  <c r="BI19" i="52"/>
  <c r="BI11" i="52"/>
  <c r="BJ15" i="52"/>
  <c r="BA24" i="52"/>
  <c r="CB24" i="52" s="1"/>
  <c r="CC24" i="52" s="1"/>
  <c r="BA16" i="52"/>
  <c r="CB16" i="52" s="1"/>
  <c r="CC16" i="52" s="1"/>
  <c r="BA39" i="52"/>
  <c r="CB39" i="52" s="1"/>
  <c r="CC39" i="52" s="1"/>
  <c r="BA31" i="52"/>
  <c r="CB31" i="52"/>
  <c r="CC31" i="52" s="1"/>
  <c r="BF35" i="52"/>
  <c r="BF27" i="52"/>
  <c r="BF19" i="52"/>
  <c r="BF11" i="52"/>
  <c r="BG18" i="52"/>
  <c r="BF9" i="52"/>
  <c r="BH38" i="52"/>
  <c r="BH30" i="52"/>
  <c r="BH22" i="52"/>
  <c r="BH14" i="52"/>
  <c r="BI18" i="52"/>
  <c r="BJ10" i="52"/>
  <c r="BA30" i="52"/>
  <c r="CB30" i="52" s="1"/>
  <c r="CC30" i="52" s="1"/>
  <c r="BF34" i="52"/>
  <c r="BF26" i="52"/>
  <c r="BF18" i="52"/>
  <c r="BG33" i="52"/>
  <c r="BG25" i="52"/>
  <c r="BG17" i="52"/>
  <c r="BF8" i="52"/>
  <c r="BH37" i="52"/>
  <c r="BH29" i="52"/>
  <c r="BH21" i="52"/>
  <c r="BH13" i="52"/>
  <c r="BA23" i="52"/>
  <c r="CB23" i="52"/>
  <c r="CC23" i="52" s="1"/>
  <c r="BA22" i="52"/>
  <c r="CB22" i="52" s="1"/>
  <c r="CC22" i="52" s="1"/>
  <c r="BA14" i="52"/>
  <c r="BR14" i="52" s="1"/>
  <c r="BS14" i="52" s="1"/>
  <c r="CB37" i="52"/>
  <c r="CC37" i="52" s="1"/>
  <c r="BA29" i="52"/>
  <c r="CB29" i="52" s="1"/>
  <c r="CC29" i="52" s="1"/>
  <c r="BF10" i="52"/>
  <c r="BF33" i="52"/>
  <c r="BZ33" i="52" s="1"/>
  <c r="CA33" i="52" s="1"/>
  <c r="BF25" i="52"/>
  <c r="BF17" i="52"/>
  <c r="BG40" i="52"/>
  <c r="BG32" i="52"/>
  <c r="BF7" i="52"/>
  <c r="BH36" i="52"/>
  <c r="BH28" i="52"/>
  <c r="BH20" i="52"/>
  <c r="BH12" i="52"/>
  <c r="BJ28" i="52"/>
  <c r="BJ20" i="52"/>
  <c r="BJ12" i="52"/>
  <c r="CB38" i="52"/>
  <c r="CC38" i="52" s="1"/>
  <c r="BA21" i="52"/>
  <c r="CB21" i="52" s="1"/>
  <c r="CC21" i="52" s="1"/>
  <c r="BA13" i="52"/>
  <c r="CB13" i="52" s="1"/>
  <c r="CC13" i="52" s="1"/>
  <c r="CB36" i="52"/>
  <c r="CC36" i="52" s="1"/>
  <c r="BF40" i="52"/>
  <c r="BF32" i="52"/>
  <c r="BF24" i="52"/>
  <c r="BF16" i="52"/>
  <c r="BH35" i="52"/>
  <c r="BH27" i="52"/>
  <c r="BH19" i="52"/>
  <c r="BH11" i="52"/>
  <c r="BJ35" i="52"/>
  <c r="BJ27" i="52"/>
  <c r="BJ19" i="52"/>
  <c r="BJ11" i="52"/>
  <c r="F23" i="47"/>
  <c r="F25" i="47"/>
  <c r="H15" i="47"/>
  <c r="I15" i="47" s="1"/>
  <c r="H13" i="47"/>
  <c r="I13" i="47" s="1"/>
  <c r="BV17" i="52"/>
  <c r="BW17" i="52" s="1"/>
  <c r="H12" i="47"/>
  <c r="I12" i="47" s="1"/>
  <c r="BR17" i="52"/>
  <c r="BS17" i="52" s="1"/>
  <c r="BX12" i="52"/>
  <c r="BY12" i="52" s="1"/>
  <c r="BX11" i="52"/>
  <c r="BY11" i="52" s="1"/>
  <c r="BX17" i="52"/>
  <c r="BY17" i="52" s="1"/>
  <c r="BX16" i="52"/>
  <c r="BY16" i="52" s="1"/>
  <c r="BR16" i="52"/>
  <c r="BS16" i="52" s="1"/>
  <c r="BV16" i="52"/>
  <c r="BW16" i="52" s="1"/>
  <c r="BV14" i="52"/>
  <c r="BW14" i="52" s="1"/>
  <c r="BV12" i="52"/>
  <c r="BW12" i="52" s="1"/>
  <c r="BR11" i="52"/>
  <c r="BS11" i="52" s="1"/>
  <c r="BV11" i="52"/>
  <c r="BW11" i="52" s="1"/>
  <c r="BT17" i="52"/>
  <c r="BU17" i="52" s="1"/>
  <c r="BT15" i="52"/>
  <c r="BU15" i="52" s="1"/>
  <c r="BX15" i="52"/>
  <c r="BY15" i="52" s="1"/>
  <c r="BT13" i="52"/>
  <c r="BU13" i="52" s="1"/>
  <c r="BT12" i="52"/>
  <c r="BU12" i="52" s="1"/>
  <c r="BT11" i="52"/>
  <c r="BU11" i="52" s="1"/>
  <c r="G27" i="52"/>
  <c r="S27" i="52" s="1"/>
  <c r="BL27" i="52" s="1"/>
  <c r="BM27" i="52" s="1"/>
  <c r="G10" i="52"/>
  <c r="AE10" i="52" s="1"/>
  <c r="BP10" i="52" s="1"/>
  <c r="G29" i="52"/>
  <c r="G30" i="52"/>
  <c r="G31" i="52"/>
  <c r="G32" i="52"/>
  <c r="G33" i="52"/>
  <c r="G34" i="52"/>
  <c r="S34" i="52" s="1"/>
  <c r="BL34" i="52" s="1"/>
  <c r="BM34" i="52" s="1"/>
  <c r="G35" i="52"/>
  <c r="G36" i="52"/>
  <c r="G37" i="52"/>
  <c r="G38" i="52"/>
  <c r="G39" i="52"/>
  <c r="G40" i="52"/>
  <c r="G28" i="52"/>
  <c r="S28" i="52" s="1"/>
  <c r="BL28" i="52" s="1"/>
  <c r="BM28" i="52" s="1"/>
  <c r="G12" i="52"/>
  <c r="G13" i="52"/>
  <c r="G14" i="52"/>
  <c r="G15" i="52"/>
  <c r="G16" i="52"/>
  <c r="G17" i="52"/>
  <c r="G18" i="52"/>
  <c r="G19" i="52"/>
  <c r="S19" i="52" s="1"/>
  <c r="BL19" i="52" s="1"/>
  <c r="BM19" i="52" s="1"/>
  <c r="G20" i="52"/>
  <c r="S20" i="52" s="1"/>
  <c r="BL20" i="52" s="1"/>
  <c r="BM20" i="52" s="1"/>
  <c r="G21" i="52"/>
  <c r="G22" i="52"/>
  <c r="G23" i="52"/>
  <c r="G24" i="52"/>
  <c r="G25" i="52"/>
  <c r="G26" i="52"/>
  <c r="G11" i="52"/>
  <c r="S11" i="52" s="1"/>
  <c r="BL11" i="52" s="1"/>
  <c r="BM11" i="52" s="1"/>
  <c r="AW34" i="52"/>
  <c r="AW37" i="52"/>
  <c r="AW23" i="52"/>
  <c r="AT30" i="52"/>
  <c r="AT33" i="52"/>
  <c r="AT35" i="52"/>
  <c r="AT36" i="52"/>
  <c r="AT40" i="52"/>
  <c r="AT28" i="52"/>
  <c r="AT16" i="52"/>
  <c r="AT19" i="52"/>
  <c r="AT21" i="52"/>
  <c r="AT22" i="52"/>
  <c r="AT26" i="52"/>
  <c r="AT11" i="52"/>
  <c r="AR35" i="52"/>
  <c r="AR21" i="52"/>
  <c r="AP34" i="52"/>
  <c r="AP20" i="52"/>
  <c r="AL32" i="52"/>
  <c r="AL18" i="52"/>
  <c r="AL10" i="52"/>
  <c r="AJ29" i="52"/>
  <c r="AJ30" i="52"/>
  <c r="AJ34" i="52"/>
  <c r="AJ35" i="52"/>
  <c r="AJ40" i="52"/>
  <c r="AJ13" i="52"/>
  <c r="AJ15" i="52"/>
  <c r="AJ16" i="52"/>
  <c r="AJ20" i="52"/>
  <c r="AJ21" i="52"/>
  <c r="AJ26" i="52"/>
  <c r="AJ8" i="52"/>
  <c r="AJ6" i="52"/>
  <c r="AH29" i="52"/>
  <c r="AH34" i="52"/>
  <c r="AH12" i="52"/>
  <c r="AH14" i="52"/>
  <c r="AH15" i="52"/>
  <c r="AH19" i="52"/>
  <c r="AH20" i="52"/>
  <c r="AH7" i="52"/>
  <c r="AH9" i="52"/>
  <c r="AH6" i="52"/>
  <c r="AW27" i="52"/>
  <c r="AT27" i="52"/>
  <c r="AT10" i="52"/>
  <c r="AN5" i="52"/>
  <c r="AL27" i="52"/>
  <c r="AJ5" i="52"/>
  <c r="AH27" i="52"/>
  <c r="AW10" i="52"/>
  <c r="AW29" i="52"/>
  <c r="AR33" i="52"/>
  <c r="AP27" i="52"/>
  <c r="AP10" i="52"/>
  <c r="AP12" i="52"/>
  <c r="AN27" i="52"/>
  <c r="AN10" i="52"/>
  <c r="AN28" i="52"/>
  <c r="AL40" i="52"/>
  <c r="AJ10" i="52"/>
  <c r="AJ37" i="52"/>
  <c r="BX14" i="52" l="1"/>
  <c r="BY14" i="52" s="1"/>
  <c r="BV10" i="52"/>
  <c r="BT14" i="52"/>
  <c r="BU14" i="52" s="1"/>
  <c r="BR10" i="52"/>
  <c r="CB10" i="52"/>
  <c r="CC10" i="52" s="1"/>
  <c r="BT16" i="52"/>
  <c r="BU16" i="52" s="1"/>
  <c r="BV15" i="52"/>
  <c r="BW15" i="52" s="1"/>
  <c r="BR15" i="52"/>
  <c r="BS15" i="52" s="1"/>
  <c r="BT10" i="52"/>
  <c r="BZ32" i="52"/>
  <c r="CA32" i="52" s="1"/>
  <c r="BZ25" i="52"/>
  <c r="CA25" i="52" s="1"/>
  <c r="BG34" i="52"/>
  <c r="BI34" i="52"/>
  <c r="CB34" i="52"/>
  <c r="CC34" i="52" s="1"/>
  <c r="BZ17" i="52"/>
  <c r="CA17" i="52" s="1"/>
  <c r="BK14" i="52"/>
  <c r="BI14" i="52"/>
  <c r="BG14" i="52"/>
  <c r="BZ37" i="52"/>
  <c r="CA37" i="52" s="1"/>
  <c r="BX13" i="52"/>
  <c r="BY13" i="52" s="1"/>
  <c r="BK30" i="52"/>
  <c r="BI30" i="52"/>
  <c r="BG30" i="52"/>
  <c r="BI31" i="52"/>
  <c r="BG31" i="52"/>
  <c r="BK31" i="52"/>
  <c r="BK12" i="52"/>
  <c r="BI12" i="52"/>
  <c r="BG12" i="52"/>
  <c r="BZ12" i="52" s="1"/>
  <c r="CA12" i="52" s="1"/>
  <c r="BK13" i="52"/>
  <c r="BI13" i="52"/>
  <c r="BG13" i="52"/>
  <c r="BZ13" i="52" s="1"/>
  <c r="CA13" i="52" s="1"/>
  <c r="BI39" i="52"/>
  <c r="BG39" i="52"/>
  <c r="BK39" i="52"/>
  <c r="BK28" i="52"/>
  <c r="BI28" i="52"/>
  <c r="BG28" i="52"/>
  <c r="BK21" i="52"/>
  <c r="BI21" i="52"/>
  <c r="BG21" i="52"/>
  <c r="BI23" i="52"/>
  <c r="BG23" i="52"/>
  <c r="BK23" i="52"/>
  <c r="BZ11" i="52"/>
  <c r="CA11" i="52" s="1"/>
  <c r="BI10" i="52"/>
  <c r="BG10" i="52"/>
  <c r="BK10" i="52"/>
  <c r="BK29" i="52"/>
  <c r="BI29" i="52"/>
  <c r="BG29" i="52"/>
  <c r="BZ29" i="52" s="1"/>
  <c r="CA29" i="52" s="1"/>
  <c r="BZ18" i="52"/>
  <c r="CA18" i="52" s="1"/>
  <c r="BZ19" i="52"/>
  <c r="CA19" i="52" s="1"/>
  <c r="BI16" i="52"/>
  <c r="BG16" i="52"/>
  <c r="BK16" i="52"/>
  <c r="BZ20" i="52"/>
  <c r="CA20" i="52" s="1"/>
  <c r="BK38" i="52"/>
  <c r="BI38" i="52"/>
  <c r="BG38" i="52"/>
  <c r="BK22" i="52"/>
  <c r="BI22" i="52"/>
  <c r="BG22" i="52"/>
  <c r="BV13" i="52"/>
  <c r="BW13" i="52" s="1"/>
  <c r="BK26" i="52"/>
  <c r="BI26" i="52"/>
  <c r="BG26" i="52"/>
  <c r="BZ39" i="52"/>
  <c r="CA39" i="52" s="1"/>
  <c r="BR13" i="52"/>
  <c r="BS13" i="52" s="1"/>
  <c r="BZ40" i="52"/>
  <c r="CA40" i="52" s="1"/>
  <c r="CB14" i="52"/>
  <c r="CC14" i="52" s="1"/>
  <c r="BZ34" i="52"/>
  <c r="CA34" i="52" s="1"/>
  <c r="BZ35" i="52"/>
  <c r="CA35" i="52" s="1"/>
  <c r="BI24" i="52"/>
  <c r="BG24" i="52"/>
  <c r="BZ24" i="52" s="1"/>
  <c r="CA24" i="52" s="1"/>
  <c r="BK24" i="52"/>
  <c r="BZ36" i="52"/>
  <c r="CA36" i="52" s="1"/>
  <c r="BK27" i="52"/>
  <c r="BI27" i="52"/>
  <c r="BG27" i="52"/>
  <c r="BZ27" i="52" s="1"/>
  <c r="CA27" i="52" s="1"/>
  <c r="BI15" i="52"/>
  <c r="BG15" i="52"/>
  <c r="BK15" i="52"/>
  <c r="AE27" i="52"/>
  <c r="BP27" i="52" s="1"/>
  <c r="BQ27" i="52" s="1"/>
  <c r="BS10" i="52"/>
  <c r="BR32" i="52"/>
  <c r="BS32" i="52" s="1"/>
  <c r="BR36" i="52"/>
  <c r="BS36" i="52" s="1"/>
  <c r="BR40" i="52"/>
  <c r="BS40" i="52" s="1"/>
  <c r="BU10" i="52"/>
  <c r="BT28" i="52"/>
  <c r="BU28" i="52" s="1"/>
  <c r="BT29" i="52"/>
  <c r="BU29" i="52" s="1"/>
  <c r="BT30" i="52"/>
  <c r="BU30" i="52" s="1"/>
  <c r="BT31" i="52"/>
  <c r="BU31" i="52" s="1"/>
  <c r="BT26" i="52"/>
  <c r="BU26" i="52" s="1"/>
  <c r="BT32" i="52"/>
  <c r="BU32" i="52" s="1"/>
  <c r="BT33" i="52"/>
  <c r="BU33" i="52" s="1"/>
  <c r="BT34" i="52"/>
  <c r="BU34" i="52" s="1"/>
  <c r="BT19" i="52"/>
  <c r="BU19" i="52" s="1"/>
  <c r="BT35" i="52"/>
  <c r="BU35" i="52" s="1"/>
  <c r="BT20" i="52"/>
  <c r="BU20" i="52" s="1"/>
  <c r="BT36" i="52"/>
  <c r="BU36" i="52" s="1"/>
  <c r="BT21" i="52"/>
  <c r="BU21" i="52" s="1"/>
  <c r="BT37" i="52"/>
  <c r="BU37" i="52" s="1"/>
  <c r="BT22" i="52"/>
  <c r="BU22" i="52" s="1"/>
  <c r="BT38" i="52"/>
  <c r="BU38" i="52" s="1"/>
  <c r="BT23" i="52"/>
  <c r="BU23" i="52" s="1"/>
  <c r="BT39" i="52"/>
  <c r="BU39" i="52" s="1"/>
  <c r="BT24" i="52"/>
  <c r="BU24" i="52" s="1"/>
  <c r="BT40" i="52"/>
  <c r="BU40" i="52" s="1"/>
  <c r="BT25" i="52"/>
  <c r="BU25" i="52" s="1"/>
  <c r="BT18" i="52"/>
  <c r="BU18" i="52" s="1"/>
  <c r="BT27" i="52"/>
  <c r="BU27" i="52" s="1"/>
  <c r="BX19" i="52"/>
  <c r="BY19" i="52" s="1"/>
  <c r="BX35" i="52"/>
  <c r="BY35" i="52" s="1"/>
  <c r="BX20" i="52"/>
  <c r="BY20" i="52" s="1"/>
  <c r="BX36" i="52"/>
  <c r="BY36" i="52" s="1"/>
  <c r="BX21" i="52"/>
  <c r="BY21" i="52" s="1"/>
  <c r="BX37" i="52"/>
  <c r="BY37" i="52" s="1"/>
  <c r="BX33" i="52"/>
  <c r="BY33" i="52" s="1"/>
  <c r="BX22" i="52"/>
  <c r="BY22" i="52" s="1"/>
  <c r="BX38" i="52"/>
  <c r="BY38" i="52" s="1"/>
  <c r="BX23" i="52"/>
  <c r="BY23" i="52" s="1"/>
  <c r="BX39" i="52"/>
  <c r="BY39" i="52" s="1"/>
  <c r="BX24" i="52"/>
  <c r="BY24" i="52" s="1"/>
  <c r="BX40" i="52"/>
  <c r="BY40" i="52" s="1"/>
  <c r="BX25" i="52"/>
  <c r="BY25" i="52" s="1"/>
  <c r="BX18" i="52"/>
  <c r="BY18" i="52" s="1"/>
  <c r="BX26" i="52"/>
  <c r="BY26" i="52" s="1"/>
  <c r="BY10" i="52"/>
  <c r="BX27" i="52"/>
  <c r="BY27" i="52" s="1"/>
  <c r="BX28" i="52"/>
  <c r="BY28" i="52" s="1"/>
  <c r="BX29" i="52"/>
  <c r="BY29" i="52" s="1"/>
  <c r="BX30" i="52"/>
  <c r="BY30" i="52" s="1"/>
  <c r="BX31" i="52"/>
  <c r="BY31" i="52" s="1"/>
  <c r="BX32" i="52"/>
  <c r="BY32" i="52" s="1"/>
  <c r="BX34" i="52"/>
  <c r="BY34" i="52" s="1"/>
  <c r="BW10" i="52"/>
  <c r="BV21" i="52"/>
  <c r="BW21" i="52" s="1"/>
  <c r="BV25" i="52"/>
  <c r="BW25" i="52" s="1"/>
  <c r="BV32" i="52"/>
  <c r="BW32" i="52" s="1"/>
  <c r="BQ10" i="52"/>
  <c r="AE28" i="52"/>
  <c r="BP28" i="52" s="1"/>
  <c r="BQ28" i="52" s="1"/>
  <c r="S18" i="52"/>
  <c r="BL18" i="52" s="1"/>
  <c r="BM18" i="52" s="1"/>
  <c r="S12" i="52"/>
  <c r="BL12" i="52" s="1"/>
  <c r="BM12" i="52" s="1"/>
  <c r="S37" i="52"/>
  <c r="BL37" i="52" s="1"/>
  <c r="BM37" i="52" s="1"/>
  <c r="Q23" i="52"/>
  <c r="Q37" i="52"/>
  <c r="S24" i="52"/>
  <c r="BL24" i="52" s="1"/>
  <c r="BM24" i="52" s="1"/>
  <c r="Q22" i="52"/>
  <c r="Q36" i="52"/>
  <c r="S35" i="52"/>
  <c r="BL35" i="52" s="1"/>
  <c r="BM35" i="52" s="1"/>
  <c r="S39" i="52"/>
  <c r="BL39" i="52" s="1"/>
  <c r="BM39" i="52" s="1"/>
  <c r="Q11" i="52"/>
  <c r="S10" i="52"/>
  <c r="BL10" i="52" s="1"/>
  <c r="Q10" i="52"/>
  <c r="S23" i="52"/>
  <c r="BL23" i="52" s="1"/>
  <c r="BM23" i="52" s="1"/>
  <c r="Q21" i="52"/>
  <c r="Q35" i="52"/>
  <c r="S22" i="52"/>
  <c r="BL22" i="52" s="1"/>
  <c r="BM22" i="52" s="1"/>
  <c r="S26" i="52"/>
  <c r="BL26" i="52" s="1"/>
  <c r="BM26" i="52" s="1"/>
  <c r="S40" i="52"/>
  <c r="BL40" i="52" s="1"/>
  <c r="BM40" i="52" s="1"/>
  <c r="Q28" i="52"/>
  <c r="Q24" i="52"/>
  <c r="Q38" i="52"/>
  <c r="S25" i="52"/>
  <c r="BL25" i="52" s="1"/>
  <c r="BM25" i="52" s="1"/>
  <c r="Q34" i="52"/>
  <c r="Q20" i="52"/>
  <c r="Q19" i="52"/>
  <c r="Q33" i="52"/>
  <c r="AG27" i="52"/>
  <c r="BN27" i="52" s="1"/>
  <c r="BO27" i="52" s="1"/>
  <c r="Q18" i="52"/>
  <c r="Q32" i="52"/>
  <c r="S33" i="52"/>
  <c r="BL33" i="52" s="1"/>
  <c r="BM33" i="52" s="1"/>
  <c r="AG10" i="52"/>
  <c r="BN10" i="52" s="1"/>
  <c r="Q17" i="52"/>
  <c r="Q31" i="52"/>
  <c r="S32" i="52"/>
  <c r="BL32" i="52" s="1"/>
  <c r="BM32" i="52" s="1"/>
  <c r="S38" i="52"/>
  <c r="BL38" i="52" s="1"/>
  <c r="BM38" i="52" s="1"/>
  <c r="Q16" i="52"/>
  <c r="Q30" i="52"/>
  <c r="S17" i="52"/>
  <c r="BL17" i="52" s="1"/>
  <c r="BM17" i="52" s="1"/>
  <c r="S31" i="52"/>
  <c r="BL31" i="52" s="1"/>
  <c r="BM31" i="52" s="1"/>
  <c r="Q15" i="52"/>
  <c r="Q29" i="52"/>
  <c r="S16" i="52"/>
  <c r="BL16" i="52" s="1"/>
  <c r="BM16" i="52" s="1"/>
  <c r="S30" i="52"/>
  <c r="BL30" i="52" s="1"/>
  <c r="BM30" i="52" s="1"/>
  <c r="Q14" i="52"/>
  <c r="S15" i="52"/>
  <c r="BL15" i="52" s="1"/>
  <c r="BM15" i="52" s="1"/>
  <c r="S29" i="52"/>
  <c r="BL29" i="52" s="1"/>
  <c r="BM29" i="52" s="1"/>
  <c r="S21" i="52"/>
  <c r="BL21" i="52" s="1"/>
  <c r="BM21" i="52" s="1"/>
  <c r="Q13" i="52"/>
  <c r="S14" i="52"/>
  <c r="BL14" i="52" s="1"/>
  <c r="BM14" i="52" s="1"/>
  <c r="Q12" i="52"/>
  <c r="S13" i="52"/>
  <c r="BL13" i="52" s="1"/>
  <c r="BM13" i="52" s="1"/>
  <c r="Q26" i="52"/>
  <c r="Q40" i="52"/>
  <c r="Q25" i="52"/>
  <c r="Q39" i="52"/>
  <c r="S36" i="52"/>
  <c r="BL36" i="52" s="1"/>
  <c r="BM36" i="52" s="1"/>
  <c r="Q27" i="52"/>
  <c r="AN33" i="52"/>
  <c r="AN8" i="52"/>
  <c r="AH5" i="52"/>
  <c r="AR27" i="52"/>
  <c r="AH22" i="52"/>
  <c r="AH36" i="52"/>
  <c r="AJ23" i="52"/>
  <c r="AL25" i="52"/>
  <c r="AL39" i="52"/>
  <c r="AN26" i="52"/>
  <c r="AN40" i="52"/>
  <c r="AP11" i="52"/>
  <c r="AP28" i="52"/>
  <c r="AR7" i="52"/>
  <c r="AR12" i="52"/>
  <c r="AT8" i="52"/>
  <c r="AT13" i="52"/>
  <c r="AW14" i="52"/>
  <c r="AH39" i="52"/>
  <c r="AL7" i="52"/>
  <c r="AN13" i="52"/>
  <c r="AP9" i="52"/>
  <c r="AP14" i="52"/>
  <c r="AR6" i="52"/>
  <c r="AR15" i="52"/>
  <c r="AR29" i="52"/>
  <c r="AW17" i="52"/>
  <c r="AH10" i="52"/>
  <c r="AT5" i="52"/>
  <c r="AH21" i="52"/>
  <c r="AH35" i="52"/>
  <c r="AJ22" i="52"/>
  <c r="AJ36" i="52"/>
  <c r="AL24" i="52"/>
  <c r="AL38" i="52"/>
  <c r="AN25" i="52"/>
  <c r="AN39" i="52"/>
  <c r="AP26" i="52"/>
  <c r="AP40" i="52"/>
  <c r="AR11" i="52"/>
  <c r="AR28" i="52"/>
  <c r="AT7" i="52"/>
  <c r="AT12" i="52"/>
  <c r="AW13" i="52"/>
  <c r="AN38" i="52"/>
  <c r="AR26" i="52"/>
  <c r="AR40" i="52"/>
  <c r="AW12" i="52"/>
  <c r="AN24" i="52"/>
  <c r="AL36" i="52"/>
  <c r="AN37" i="52"/>
  <c r="AR25" i="52"/>
  <c r="AW28" i="52"/>
  <c r="AL37" i="52"/>
  <c r="AP25" i="52"/>
  <c r="AH33" i="52"/>
  <c r="AW11" i="52"/>
  <c r="AH18" i="52"/>
  <c r="AH32" i="52"/>
  <c r="AJ19" i="52"/>
  <c r="AJ33" i="52"/>
  <c r="AL21" i="52"/>
  <c r="AL35" i="52"/>
  <c r="AN22" i="52"/>
  <c r="AN36" i="52"/>
  <c r="AP23" i="52"/>
  <c r="AP37" i="52"/>
  <c r="AR24" i="52"/>
  <c r="AR38" i="52"/>
  <c r="AT25" i="52"/>
  <c r="AT39" i="52"/>
  <c r="AW26" i="52"/>
  <c r="AW40" i="52"/>
  <c r="AL23" i="52"/>
  <c r="AP39" i="52"/>
  <c r="AL22" i="52"/>
  <c r="AN23" i="52"/>
  <c r="AP24" i="52"/>
  <c r="AP38" i="52"/>
  <c r="AR39" i="52"/>
  <c r="AG29" i="52"/>
  <c r="BN29" i="52" s="1"/>
  <c r="BO29" i="52" s="1"/>
  <c r="AJ27" i="52"/>
  <c r="AH17" i="52"/>
  <c r="AH31" i="52"/>
  <c r="AJ18" i="52"/>
  <c r="AJ32" i="52"/>
  <c r="AL20" i="52"/>
  <c r="AL34" i="52"/>
  <c r="AN21" i="52"/>
  <c r="AN35" i="52"/>
  <c r="AP22" i="52"/>
  <c r="AP36" i="52"/>
  <c r="AR23" i="52"/>
  <c r="AR37" i="52"/>
  <c r="AT24" i="52"/>
  <c r="AT38" i="52"/>
  <c r="AW25" i="52"/>
  <c r="AW39" i="52"/>
  <c r="AL5" i="52"/>
  <c r="AH16" i="52"/>
  <c r="AH30" i="52"/>
  <c r="AJ17" i="52"/>
  <c r="AJ31" i="52"/>
  <c r="AL19" i="52"/>
  <c r="AL33" i="52"/>
  <c r="AN20" i="52"/>
  <c r="AN34" i="52"/>
  <c r="AP21" i="52"/>
  <c r="AP35" i="52"/>
  <c r="AR22" i="52"/>
  <c r="AR36" i="52"/>
  <c r="AT23" i="52"/>
  <c r="AT37" i="52"/>
  <c r="AW24" i="52"/>
  <c r="AW38" i="52"/>
  <c r="AL17" i="52"/>
  <c r="AN18" i="52"/>
  <c r="AR20" i="52"/>
  <c r="AW36" i="52"/>
  <c r="AL31" i="52"/>
  <c r="AN32" i="52"/>
  <c r="AP19" i="52"/>
  <c r="AP33" i="52"/>
  <c r="AR34" i="52"/>
  <c r="AW22" i="52"/>
  <c r="AH8" i="52"/>
  <c r="AH13" i="52"/>
  <c r="AJ9" i="52"/>
  <c r="AJ14" i="52"/>
  <c r="AL6" i="52"/>
  <c r="AL16" i="52"/>
  <c r="AL30" i="52"/>
  <c r="AN17" i="52"/>
  <c r="AN31" i="52"/>
  <c r="AP18" i="52"/>
  <c r="AP32" i="52"/>
  <c r="AR19" i="52"/>
  <c r="AT20" i="52"/>
  <c r="AT34" i="52"/>
  <c r="AW21" i="52"/>
  <c r="AW35" i="52"/>
  <c r="AL29" i="52"/>
  <c r="AN30" i="52"/>
  <c r="AP31" i="52"/>
  <c r="AR32" i="52"/>
  <c r="AW20" i="52"/>
  <c r="AP5" i="52"/>
  <c r="AH11" i="52"/>
  <c r="AH28" i="52"/>
  <c r="AJ7" i="52"/>
  <c r="AJ12" i="52"/>
  <c r="AL9" i="52"/>
  <c r="AL14" i="52"/>
  <c r="AN6" i="52"/>
  <c r="AN15" i="52"/>
  <c r="AN29" i="52"/>
  <c r="AP16" i="52"/>
  <c r="AP30" i="52"/>
  <c r="AR17" i="52"/>
  <c r="AR31" i="52"/>
  <c r="AT18" i="52"/>
  <c r="AT32" i="52"/>
  <c r="AW19" i="52"/>
  <c r="AW33" i="52"/>
  <c r="AL15" i="52"/>
  <c r="AN16" i="52"/>
  <c r="AP17" i="52"/>
  <c r="AR18" i="52"/>
  <c r="AH26" i="52"/>
  <c r="AH40" i="52"/>
  <c r="AJ11" i="52"/>
  <c r="AJ28" i="52"/>
  <c r="AL8" i="52"/>
  <c r="AL13" i="52"/>
  <c r="AN9" i="52"/>
  <c r="AN14" i="52"/>
  <c r="AP6" i="52"/>
  <c r="AP15" i="52"/>
  <c r="AP29" i="52"/>
  <c r="AR16" i="52"/>
  <c r="AR30" i="52"/>
  <c r="AT17" i="52"/>
  <c r="AT31" i="52"/>
  <c r="AW18" i="52"/>
  <c r="AW32" i="52"/>
  <c r="AW31" i="52"/>
  <c r="AN19" i="52"/>
  <c r="AH25" i="52"/>
  <c r="AL12" i="52"/>
  <c r="AR5" i="52"/>
  <c r="AH24" i="52"/>
  <c r="AH38" i="52"/>
  <c r="AJ25" i="52"/>
  <c r="AJ39" i="52"/>
  <c r="AL11" i="52"/>
  <c r="AL28" i="52"/>
  <c r="AN7" i="52"/>
  <c r="AN12" i="52"/>
  <c r="AP8" i="52"/>
  <c r="AP13" i="52"/>
  <c r="AR9" i="52"/>
  <c r="AR14" i="52"/>
  <c r="AT6" i="52"/>
  <c r="AT15" i="52"/>
  <c r="AT29" i="52"/>
  <c r="AW16" i="52"/>
  <c r="AW30" i="52"/>
  <c r="AR10" i="52"/>
  <c r="AH23" i="52"/>
  <c r="AH37" i="52"/>
  <c r="AJ24" i="52"/>
  <c r="AJ38" i="52"/>
  <c r="AL26" i="52"/>
  <c r="AN11" i="52"/>
  <c r="AP7" i="52"/>
  <c r="AR8" i="52"/>
  <c r="AR13" i="52"/>
  <c r="AT9" i="52"/>
  <c r="AT14" i="52"/>
  <c r="AW15" i="52"/>
  <c r="AE26" i="52"/>
  <c r="BP26" i="52" s="1"/>
  <c r="BQ26" i="52" s="1"/>
  <c r="AE40" i="52"/>
  <c r="BP40" i="52" s="1"/>
  <c r="BQ40" i="52" s="1"/>
  <c r="AG14" i="52"/>
  <c r="BN14" i="52" s="1"/>
  <c r="BO14" i="52" s="1"/>
  <c r="AE25" i="52"/>
  <c r="BP25" i="52" s="1"/>
  <c r="BQ25" i="52" s="1"/>
  <c r="AE39" i="52"/>
  <c r="BP39" i="52" s="1"/>
  <c r="BQ39" i="52" s="1"/>
  <c r="AG13" i="52"/>
  <c r="BN13" i="52" s="1"/>
  <c r="BO13" i="52" s="1"/>
  <c r="AE24" i="52"/>
  <c r="BP24" i="52" s="1"/>
  <c r="BQ24" i="52" s="1"/>
  <c r="AE38" i="52"/>
  <c r="BP38" i="52" s="1"/>
  <c r="BQ38" i="52" s="1"/>
  <c r="AG12" i="52"/>
  <c r="BN12" i="52" s="1"/>
  <c r="BO12" i="52" s="1"/>
  <c r="AE23" i="52"/>
  <c r="BP23" i="52" s="1"/>
  <c r="BQ23" i="52" s="1"/>
  <c r="AE37" i="52"/>
  <c r="BP37" i="52" s="1"/>
  <c r="BQ37" i="52" s="1"/>
  <c r="AG11" i="52"/>
  <c r="BN11" i="52" s="1"/>
  <c r="BO11" i="52" s="1"/>
  <c r="AG28" i="52"/>
  <c r="BN28" i="52" s="1"/>
  <c r="BO28" i="52" s="1"/>
  <c r="AE22" i="52"/>
  <c r="BP22" i="52" s="1"/>
  <c r="BQ22" i="52" s="1"/>
  <c r="AE36" i="52"/>
  <c r="BP36" i="52" s="1"/>
  <c r="BQ36" i="52" s="1"/>
  <c r="AG26" i="52"/>
  <c r="BN26" i="52" s="1"/>
  <c r="BO26" i="52" s="1"/>
  <c r="AG40" i="52"/>
  <c r="BN40" i="52" s="1"/>
  <c r="BO40" i="52" s="1"/>
  <c r="AE21" i="52"/>
  <c r="BP21" i="52" s="1"/>
  <c r="BQ21" i="52" s="1"/>
  <c r="AE35" i="52"/>
  <c r="BP35" i="52" s="1"/>
  <c r="BQ35" i="52" s="1"/>
  <c r="AG25" i="52"/>
  <c r="BN25" i="52" s="1"/>
  <c r="BO25" i="52" s="1"/>
  <c r="AG39" i="52"/>
  <c r="BN39" i="52" s="1"/>
  <c r="BO39" i="52" s="1"/>
  <c r="AE20" i="52"/>
  <c r="BP20" i="52" s="1"/>
  <c r="BQ20" i="52" s="1"/>
  <c r="AE34" i="52"/>
  <c r="BP34" i="52" s="1"/>
  <c r="BQ34" i="52" s="1"/>
  <c r="AG24" i="52"/>
  <c r="BN24" i="52" s="1"/>
  <c r="BO24" i="52" s="1"/>
  <c r="AG38" i="52"/>
  <c r="BN38" i="52" s="1"/>
  <c r="BO38" i="52" s="1"/>
  <c r="AE19" i="52"/>
  <c r="BP19" i="52" s="1"/>
  <c r="BQ19" i="52" s="1"/>
  <c r="AE33" i="52"/>
  <c r="BP33" i="52" s="1"/>
  <c r="BQ33" i="52" s="1"/>
  <c r="AG23" i="52"/>
  <c r="BN23" i="52" s="1"/>
  <c r="BO23" i="52" s="1"/>
  <c r="AG37" i="52"/>
  <c r="BN37" i="52" s="1"/>
  <c r="BO37" i="52" s="1"/>
  <c r="AE18" i="52"/>
  <c r="BP18" i="52" s="1"/>
  <c r="BQ18" i="52" s="1"/>
  <c r="AE32" i="52"/>
  <c r="BP32" i="52" s="1"/>
  <c r="BQ32" i="52" s="1"/>
  <c r="AG22" i="52"/>
  <c r="BN22" i="52" s="1"/>
  <c r="BO22" i="52" s="1"/>
  <c r="AG36" i="52"/>
  <c r="BN36" i="52" s="1"/>
  <c r="BO36" i="52" s="1"/>
  <c r="AE17" i="52"/>
  <c r="BP17" i="52" s="1"/>
  <c r="BQ17" i="52" s="1"/>
  <c r="AE31" i="52"/>
  <c r="BP31" i="52" s="1"/>
  <c r="BQ31" i="52" s="1"/>
  <c r="AG21" i="52"/>
  <c r="BN21" i="52" s="1"/>
  <c r="BO21" i="52" s="1"/>
  <c r="AG35" i="52"/>
  <c r="BN35" i="52" s="1"/>
  <c r="BO35" i="52" s="1"/>
  <c r="AE16" i="52"/>
  <c r="BP16" i="52" s="1"/>
  <c r="BQ16" i="52" s="1"/>
  <c r="AE30" i="52"/>
  <c r="BP30" i="52" s="1"/>
  <c r="BQ30" i="52" s="1"/>
  <c r="AG20" i="52"/>
  <c r="BN20" i="52" s="1"/>
  <c r="BO20" i="52" s="1"/>
  <c r="AG34" i="52"/>
  <c r="BN34" i="52" s="1"/>
  <c r="BO34" i="52" s="1"/>
  <c r="AE15" i="52"/>
  <c r="BP15" i="52" s="1"/>
  <c r="BQ15" i="52" s="1"/>
  <c r="AE29" i="52"/>
  <c r="BP29" i="52" s="1"/>
  <c r="BQ29" i="52" s="1"/>
  <c r="AG19" i="52"/>
  <c r="BN19" i="52" s="1"/>
  <c r="BO19" i="52" s="1"/>
  <c r="AG33" i="52"/>
  <c r="BN33" i="52" s="1"/>
  <c r="BO33" i="52" s="1"/>
  <c r="AE14" i="52"/>
  <c r="BP14" i="52" s="1"/>
  <c r="BQ14" i="52" s="1"/>
  <c r="AG18" i="52"/>
  <c r="BN18" i="52" s="1"/>
  <c r="BO18" i="52" s="1"/>
  <c r="AG32" i="52"/>
  <c r="BN32" i="52" s="1"/>
  <c r="BO32" i="52" s="1"/>
  <c r="AE13" i="52"/>
  <c r="BP13" i="52" s="1"/>
  <c r="BQ13" i="52" s="1"/>
  <c r="AG17" i="52"/>
  <c r="BN17" i="52" s="1"/>
  <c r="BO17" i="52" s="1"/>
  <c r="AG31" i="52"/>
  <c r="BN31" i="52" s="1"/>
  <c r="BO31" i="52" s="1"/>
  <c r="AE12" i="52"/>
  <c r="BP12" i="52" s="1"/>
  <c r="BQ12" i="52" s="1"/>
  <c r="AG16" i="52"/>
  <c r="BN16" i="52" s="1"/>
  <c r="BO16" i="52" s="1"/>
  <c r="AG30" i="52"/>
  <c r="BN30" i="52" s="1"/>
  <c r="BO30" i="52" s="1"/>
  <c r="AE11" i="52"/>
  <c r="BP11" i="52" s="1"/>
  <c r="BQ11" i="52" s="1"/>
  <c r="AG15" i="52"/>
  <c r="BN15" i="52" s="1"/>
  <c r="BO15" i="52" s="1"/>
  <c r="BV31" i="52" l="1"/>
  <c r="BW31" i="52" s="1"/>
  <c r="BV40" i="52"/>
  <c r="BW40" i="52" s="1"/>
  <c r="BV36" i="52"/>
  <c r="BW36" i="52" s="1"/>
  <c r="BR24" i="52"/>
  <c r="BS24" i="52" s="1"/>
  <c r="BR20" i="52"/>
  <c r="BS20" i="52" s="1"/>
  <c r="BR31" i="52"/>
  <c r="BS31" i="52" s="1"/>
  <c r="BZ16" i="52"/>
  <c r="CA16" i="52" s="1"/>
  <c r="BV30" i="52"/>
  <c r="BW30" i="52" s="1"/>
  <c r="BV24" i="52"/>
  <c r="BW24" i="52" s="1"/>
  <c r="BV20" i="52"/>
  <c r="BW20" i="52" s="1"/>
  <c r="BR39" i="52"/>
  <c r="BS39" i="52" s="1"/>
  <c r="BR35" i="52"/>
  <c r="BS35" i="52" s="1"/>
  <c r="BR29" i="52"/>
  <c r="BS29" i="52" s="1"/>
  <c r="BV29" i="52"/>
  <c r="BW29" i="52" s="1"/>
  <c r="BV39" i="52"/>
  <c r="BW39" i="52" s="1"/>
  <c r="BV33" i="52"/>
  <c r="BW33" i="52" s="1"/>
  <c r="BR23" i="52"/>
  <c r="BS23" i="52" s="1"/>
  <c r="BR19" i="52"/>
  <c r="BS19" i="52" s="1"/>
  <c r="BV28" i="52"/>
  <c r="BW28" i="52" s="1"/>
  <c r="BV23" i="52"/>
  <c r="BW23" i="52" s="1"/>
  <c r="BV35" i="52"/>
  <c r="BW35" i="52" s="1"/>
  <c r="BR38" i="52"/>
  <c r="BS38" i="52" s="1"/>
  <c r="BR25" i="52"/>
  <c r="BS25" i="52" s="1"/>
  <c r="BZ23" i="52"/>
  <c r="CA23" i="52" s="1"/>
  <c r="BV27" i="52"/>
  <c r="BW27" i="52" s="1"/>
  <c r="BV38" i="52"/>
  <c r="BW38" i="52" s="1"/>
  <c r="BV19" i="52"/>
  <c r="BW19" i="52" s="1"/>
  <c r="BR22" i="52"/>
  <c r="BS22" i="52" s="1"/>
  <c r="BR34" i="52"/>
  <c r="BS34" i="52" s="1"/>
  <c r="BV26" i="52"/>
  <c r="BW26" i="52" s="1"/>
  <c r="BV22" i="52"/>
  <c r="BW22" i="52" s="1"/>
  <c r="BR37" i="52"/>
  <c r="BS37" i="52" s="1"/>
  <c r="BR18" i="52"/>
  <c r="BS18" i="52" s="1"/>
  <c r="BZ15" i="52"/>
  <c r="CA15" i="52" s="1"/>
  <c r="BZ38" i="52"/>
  <c r="CA38" i="52" s="1"/>
  <c r="BV34" i="52"/>
  <c r="BW34" i="52" s="1"/>
  <c r="BV18" i="52"/>
  <c r="BW18" i="52" s="1"/>
  <c r="BV37" i="52"/>
  <c r="BW37" i="52" s="1"/>
  <c r="BR26" i="52"/>
  <c r="BS26" i="52" s="1"/>
  <c r="BR21" i="52"/>
  <c r="BS21" i="52" s="1"/>
  <c r="BR33" i="52"/>
  <c r="BS33" i="52" s="1"/>
  <c r="BZ31" i="52"/>
  <c r="CA31" i="52" s="1"/>
  <c r="BZ14" i="52"/>
  <c r="CA14" i="52" s="1"/>
  <c r="BZ26" i="52"/>
  <c r="CA26" i="52" s="1"/>
  <c r="BZ30" i="52"/>
  <c r="CA30" i="52" s="1"/>
  <c r="BR27" i="52"/>
  <c r="BS27" i="52" s="1"/>
  <c r="BZ28" i="52"/>
  <c r="CA28" i="52" s="1"/>
  <c r="BZ22" i="52"/>
  <c r="CA22" i="52" s="1"/>
  <c r="BZ21" i="52"/>
  <c r="CA21" i="52" s="1"/>
  <c r="BZ10" i="52"/>
  <c r="CA10" i="52"/>
  <c r="BR30" i="52"/>
  <c r="BS30" i="52" s="1"/>
  <c r="BR28" i="52"/>
  <c r="BS28" i="52" s="1"/>
  <c r="C9" i="50"/>
  <c r="B7" i="50"/>
  <c r="BM10" i="52"/>
  <c r="C7" i="50" s="1"/>
  <c r="B8" i="50"/>
  <c r="BO10" i="52"/>
  <c r="C8" i="50" s="1"/>
  <c r="B9" i="50"/>
  <c r="H40" i="47"/>
  <c r="I40" i="47" s="1"/>
  <c r="C10" i="50" l="1"/>
  <c r="C13" i="50"/>
  <c r="B13" i="50"/>
  <c r="B10" i="50"/>
  <c r="H23" i="47"/>
  <c r="I23" i="47" s="1"/>
  <c r="H34" i="47"/>
  <c r="I34" i="47" s="1"/>
  <c r="H41" i="47"/>
  <c r="I41" i="47" s="1"/>
  <c r="H19" i="47"/>
  <c r="I19" i="47" s="1"/>
  <c r="H25" i="47"/>
  <c r="I25" i="47" s="1"/>
  <c r="H38" i="47"/>
  <c r="I38" i="47" s="1"/>
  <c r="H46" i="47"/>
  <c r="I46" i="47" s="1"/>
  <c r="H20" i="47"/>
  <c r="I20" i="47" s="1"/>
  <c r="H45" i="47"/>
  <c r="I45" i="47" s="1"/>
  <c r="H44" i="47"/>
  <c r="I44" i="47" s="1"/>
  <c r="H35" i="47"/>
  <c r="I35" i="47" s="1"/>
  <c r="H36" i="47"/>
  <c r="I36" i="47" s="1"/>
  <c r="H47" i="47"/>
  <c r="I47" i="47" s="1"/>
  <c r="H31" i="47"/>
  <c r="I31" i="47" s="1"/>
  <c r="H30" i="47"/>
  <c r="I30" i="47" s="1"/>
  <c r="H24" i="47"/>
  <c r="I24" i="47" s="1"/>
  <c r="H29" i="47"/>
  <c r="I29" i="47" s="1"/>
  <c r="H21" i="47"/>
  <c r="I21" i="47" s="1"/>
  <c r="H28" i="47"/>
  <c r="I28" i="47" s="1"/>
  <c r="H39" i="47"/>
  <c r="I39" i="47" s="1"/>
  <c r="H42" i="47"/>
  <c r="I42" i="47" s="1"/>
  <c r="H32" i="47"/>
  <c r="I32" i="47" s="1"/>
  <c r="H37" i="47"/>
  <c r="I37" i="47" s="1"/>
  <c r="H27" i="47"/>
  <c r="I27" i="47" s="1"/>
  <c r="H33" i="47"/>
  <c r="I33" i="47" s="1"/>
  <c r="H43" i="47"/>
  <c r="I43" i="47" s="1"/>
  <c r="H26" i="47"/>
  <c r="I26" i="47" s="1"/>
  <c r="H22" i="47"/>
  <c r="I22" i="47" s="1"/>
  <c r="H8" i="47" l="1"/>
  <c r="H5" i="47"/>
  <c r="D55" i="47" l="1"/>
  <c r="D56" i="47" s="1"/>
  <c r="E48" i="47" l="1"/>
  <c r="D48" i="47"/>
  <c r="F48" i="47"/>
  <c r="D57" i="47"/>
  <c r="C14" i="50" s="1"/>
  <c r="H18" i="47"/>
  <c r="I18" i="47" s="1"/>
  <c r="H17" i="47"/>
  <c r="H48" i="47" l="1"/>
  <c r="B15" i="50" s="1"/>
  <c r="I17" i="47"/>
  <c r="I16" i="47"/>
  <c r="I11" i="47"/>
  <c r="I48" i="47" l="1"/>
  <c r="C15" i="50" s="1"/>
  <c r="B14" i="50" l="1"/>
  <c r="C17" i="50" l="1"/>
  <c r="B17" i="50"/>
  <c r="B16" i="50"/>
  <c r="C16" i="50" l="1"/>
</calcChain>
</file>

<file path=xl/sharedStrings.xml><?xml version="1.0" encoding="utf-8"?>
<sst xmlns="http://schemas.openxmlformats.org/spreadsheetml/2006/main" count="1119" uniqueCount="499">
  <si>
    <t>BCA Metric</t>
  </si>
  <si>
    <t>Calendar Year</t>
  </si>
  <si>
    <t>Project Year</t>
  </si>
  <si>
    <t>Discounted (7%)</t>
  </si>
  <si>
    <t>Total Benefits</t>
  </si>
  <si>
    <t>Residual Value</t>
  </si>
  <si>
    <t>Project Cost</t>
  </si>
  <si>
    <t>Benefit Cost Ratio (BCR)</t>
  </si>
  <si>
    <t>Useful Life of Project (years)</t>
  </si>
  <si>
    <t>Years of Analysis</t>
  </si>
  <si>
    <t>Project Phase</t>
  </si>
  <si>
    <t>Design</t>
  </si>
  <si>
    <t>Construction</t>
  </si>
  <si>
    <t>Total</t>
  </si>
  <si>
    <t>Start date</t>
  </si>
  <si>
    <t>End Date</t>
  </si>
  <si>
    <t>No Build</t>
  </si>
  <si>
    <t>Timeline Year</t>
  </si>
  <si>
    <t>Build</t>
  </si>
  <si>
    <t>Source</t>
  </si>
  <si>
    <t>PM</t>
  </si>
  <si>
    <t>SOx</t>
  </si>
  <si>
    <t>CO2</t>
  </si>
  <si>
    <t>Auto</t>
  </si>
  <si>
    <t>Value</t>
  </si>
  <si>
    <t>Injury Crash</t>
  </si>
  <si>
    <t>Fatal Crash</t>
  </si>
  <si>
    <t>ROW/Utilities</t>
  </si>
  <si>
    <t>Project Cost and Schedule</t>
  </si>
  <si>
    <t>Residual Value at year 2057</t>
  </si>
  <si>
    <t>Benefit Cost Analysis Summary</t>
  </si>
  <si>
    <t>Capital Expenditures</t>
  </si>
  <si>
    <t>Collision Data</t>
  </si>
  <si>
    <t>Discounted Project Costs(7%)</t>
  </si>
  <si>
    <t>Amount (2020 $)</t>
  </si>
  <si>
    <t>Amount (2022 $)</t>
  </si>
  <si>
    <t>Planning</t>
  </si>
  <si>
    <t>Environmental</t>
  </si>
  <si>
    <t xml:space="preserve">Project Management </t>
  </si>
  <si>
    <t>Project Total Value (2020 $)</t>
  </si>
  <si>
    <t>Residual Value discounted to 2020 Net Present Value</t>
  </si>
  <si>
    <t>Net Present Value (2020 $)</t>
  </si>
  <si>
    <t>2020 $</t>
  </si>
  <si>
    <t xml:space="preserve"> FY 2022 MEGA GRANT PROGRAM</t>
  </si>
  <si>
    <t>Metropia vid</t>
  </si>
  <si>
    <t>6% of Metropia users changed AM/PM peak departure times, resulted in ~20% travel time reduction</t>
  </si>
  <si>
    <t>~50% users accepted Metropia route suggestions</t>
  </si>
  <si>
    <t>MOD</t>
  </si>
  <si>
    <t>Other Federal</t>
  </si>
  <si>
    <t>ATCMTD</t>
  </si>
  <si>
    <t>Non Federal</t>
  </si>
  <si>
    <t>In Kind Contribution</t>
  </si>
  <si>
    <t>Measure J</t>
  </si>
  <si>
    <t>Env</t>
  </si>
  <si>
    <t>TAM</t>
  </si>
  <si>
    <t>PSE</t>
  </si>
  <si>
    <t>CON</t>
  </si>
  <si>
    <t>MPDG</t>
  </si>
  <si>
    <t>Mega</t>
  </si>
  <si>
    <t>I-680 Express Bus Project Funding Plan</t>
  </si>
  <si>
    <t>Project Costs (2022$)
Including Contingency</t>
  </si>
  <si>
    <t>Fund Sources
(in thousands)
[Match funds in YOE, Mega in 2022$]</t>
  </si>
  <si>
    <t>Match (YOE) (Exp starting 8/1/22)</t>
  </si>
  <si>
    <t>MEGA Funding Request 
Programming Year and Amounts (in thousands, 2022$)</t>
  </si>
  <si>
    <r>
      <t xml:space="preserve">MEGA Funding Request 
Programming Year and Amounts </t>
    </r>
    <r>
      <rPr>
        <b/>
        <sz val="12"/>
        <color rgb="FFFF0000"/>
        <rFont val="Calibri"/>
        <family val="2"/>
        <scheme val="minor"/>
      </rPr>
      <t>(in thousands, YOE$)</t>
    </r>
    <r>
      <rPr>
        <b/>
        <sz val="12"/>
        <rFont val="Calibri"/>
        <family val="2"/>
        <scheme val="minor"/>
      </rPr>
      <t xml:space="preserve">
</t>
    </r>
    <r>
      <rPr>
        <b/>
        <sz val="12"/>
        <color rgb="FFFF0000"/>
        <rFont val="Calibri"/>
        <family val="2"/>
        <scheme val="minor"/>
      </rPr>
      <t>(FY22=FY23; 8% esc in FY24, 5% esc in FY25 &amp; FY26)</t>
    </r>
  </si>
  <si>
    <t>=FY22$</t>
  </si>
  <si>
    <t>FY22$*(1.08)</t>
  </si>
  <si>
    <t>FY22$*(1.08)*(1.05)</t>
  </si>
  <si>
    <t>FY22$*(1.08)*(1.05^2)</t>
  </si>
  <si>
    <t>Project Components</t>
  </si>
  <si>
    <t>Project Description</t>
  </si>
  <si>
    <t>Phases</t>
  </si>
  <si>
    <t>FY21/22 &amp; Prior</t>
  </si>
  <si>
    <t>FY22/23</t>
  </si>
  <si>
    <t>FY23/24</t>
  </si>
  <si>
    <t>FY24/25</t>
  </si>
  <si>
    <t>FY25/26</t>
  </si>
  <si>
    <t>Total Cost
(2022$)</t>
  </si>
  <si>
    <t>Fund Source</t>
  </si>
  <si>
    <t>Amount</t>
  </si>
  <si>
    <t>Total
Request</t>
  </si>
  <si>
    <t>Total Request</t>
  </si>
  <si>
    <t>Total Projet Costs (YOE)
(MEGA + Other Sources)</t>
  </si>
  <si>
    <t>Overall Parameters</t>
  </si>
  <si>
    <t>Mike Wallace</t>
  </si>
  <si>
    <t>Parameter</t>
  </si>
  <si>
    <t>Units</t>
  </si>
  <si>
    <t>Description</t>
  </si>
  <si>
    <t>Base Year Dollars</t>
  </si>
  <si>
    <t>Base year for benefits and costs</t>
  </si>
  <si>
    <t>Benefit Cost Analysis Guidance 2022 (Revised)</t>
  </si>
  <si>
    <t>Discount Rate</t>
  </si>
  <si>
    <t>Discount rate applied to future benefits and costs to convert to base dollars</t>
  </si>
  <si>
    <t>Service Life</t>
  </si>
  <si>
    <t>years</t>
  </si>
  <si>
    <t>Projects involving the initial construction or full reconstruction of highways or similar facilities should use an expected service life of 30 years</t>
  </si>
  <si>
    <t>Projects aimed primarily at capacity expansion or to address other operating deficiencies should use a service life of 20 years (even if the useful physical life of the underlying infrastructure is greater than this). This is intended to correspond to the typical “design year” for such improvements.</t>
  </si>
  <si>
    <t>Expected service lives for intelligent transportation systems and similar investments are generally somewhat less than 20 years, and may be as short as 7-10 years for some types of technologies.</t>
  </si>
  <si>
    <t>Similarly, the average service life of transit buses in the U.S. is 14 years</t>
  </si>
  <si>
    <t>Value of Time - Personal</t>
  </si>
  <si>
    <t>2020$ per hour per person</t>
  </si>
  <si>
    <t>Time associated with personal auto vehicles on personal time</t>
  </si>
  <si>
    <t>Value of Time - Business</t>
  </si>
  <si>
    <t>Time associated with personal auto vehicles on business time</t>
  </si>
  <si>
    <t>Value of Time - All</t>
  </si>
  <si>
    <t>Time associated with personal auto vehicles on all time</t>
  </si>
  <si>
    <t>Value of Time - Walk, cycle, wait, standing, transfer</t>
  </si>
  <si>
    <t>Time associated with transit or active transportation</t>
  </si>
  <si>
    <t>Value of Time - Truck Driver</t>
  </si>
  <si>
    <t>Time associated with commercial trucks</t>
  </si>
  <si>
    <t>Value of Time - Bus Driver</t>
  </si>
  <si>
    <t>Time associated with transit driver</t>
  </si>
  <si>
    <t>Value of Time - Transit Rail Operator</t>
  </si>
  <si>
    <t>Value of Time - Locomotive Engineers</t>
  </si>
  <si>
    <t>Average Vehicle Occupancy - Weekday Peak</t>
  </si>
  <si>
    <t>People per vehicle</t>
  </si>
  <si>
    <t>6-8:59 am, 4-6:59 pm on Weekdays</t>
  </si>
  <si>
    <t>Average Vehicle Occupancy - Weekday Off-Peak</t>
  </si>
  <si>
    <t>12-5:59 am, 9am-3:59pm, 7-11:59pm Weekdays</t>
  </si>
  <si>
    <t>Average Vehicle Occupancy - Weekend</t>
  </si>
  <si>
    <t>All day on weekends</t>
  </si>
  <si>
    <t>Average Vehicle Occupancy - All Times</t>
  </si>
  <si>
    <t>Week Days</t>
  </si>
  <si>
    <t>Days per year</t>
  </si>
  <si>
    <t>Weekend Days</t>
  </si>
  <si>
    <t>Weighted Days</t>
  </si>
  <si>
    <t>When weekday values are all that are given, use to estimate annualization</t>
  </si>
  <si>
    <t>Peak hours per weekday</t>
  </si>
  <si>
    <t>Hours per day</t>
  </si>
  <si>
    <t>Off-Peak hours per weekday</t>
  </si>
  <si>
    <t>Vehicle Operating Cost - Personal</t>
  </si>
  <si>
    <t>2020$ per mile</t>
  </si>
  <si>
    <t>Excludes tolls and value of time</t>
  </si>
  <si>
    <t>Vehicle Operating Cost - Commercial</t>
  </si>
  <si>
    <t>Quality of Life - Expand Sidewalk</t>
  </si>
  <si>
    <t>$2020 per foot per person</t>
  </si>
  <si>
    <t>Person mile walking per foot added length of sidewalk</t>
  </si>
  <si>
    <t>Quality of Life - Marked Crosswalk</t>
  </si>
  <si>
    <t>$2020 per person</t>
  </si>
  <si>
    <t>ADT&gt;10,000</t>
  </si>
  <si>
    <t>Quality of Life - Signalized Crosswalk</t>
  </si>
  <si>
    <t>ADT&gt;13,000</t>
  </si>
  <si>
    <t>Quality of Life - Cycle Path (At-Grade Crossing)</t>
  </si>
  <si>
    <t>$2020 per cyclist per mile</t>
  </si>
  <si>
    <t>No parallel facility of similar quality. Max of 2.38 miles of benefit</t>
  </si>
  <si>
    <t>Quality of Life - Cycle Path (No At-Grade Crossing)</t>
  </si>
  <si>
    <t>Quality of Life - Dedicated Cycle Lane</t>
  </si>
  <si>
    <t>Quality of Life - Sharrow</t>
  </si>
  <si>
    <t>Quality of Life - Sperated Cycle Track</t>
  </si>
  <si>
    <t>Quality of Life - Mortality (Walking)</t>
  </si>
  <si>
    <t>$2020 Induced Trip</t>
  </si>
  <si>
    <t>Health benefit for previously non-Active trips for ages 20-74</t>
  </si>
  <si>
    <t>Quality of Life - Mortality (Cycling)</t>
  </si>
  <si>
    <t>Health benefit for previously non-Active trips for ages 20-64</t>
  </si>
  <si>
    <t>O – No Injury</t>
  </si>
  <si>
    <t>2020$ per crash</t>
  </si>
  <si>
    <t>KABCO collision level</t>
  </si>
  <si>
    <t>C – Possible Injury</t>
  </si>
  <si>
    <t>2020$ per person</t>
  </si>
  <si>
    <t>B – Non-incapacitating</t>
  </si>
  <si>
    <t>A – Incapacitating</t>
  </si>
  <si>
    <t>K – Killed</t>
  </si>
  <si>
    <t>U – Injured (Severity Unknown)</t>
  </si>
  <si>
    <t># Accidents Reported (Unknown</t>
  </si>
  <si>
    <t>if Injured)</t>
  </si>
  <si>
    <t>Property Damage Only Crash</t>
  </si>
  <si>
    <t>If local data are not available, use this for collisions</t>
  </si>
  <si>
    <t>Fatality Analysis Reporting System (FARS)</t>
  </si>
  <si>
    <r>
      <t>CMF</t>
    </r>
    <r>
      <rPr>
        <sz val="11"/>
        <color rgb="FFFF0000"/>
        <rFont val="Calibri"/>
        <family val="2"/>
        <scheme val="minor"/>
      </rPr>
      <t xml:space="preserve"> - Factor 1</t>
    </r>
  </si>
  <si>
    <t>Collision Modification Factor</t>
  </si>
  <si>
    <t>CRASH MODIFICATION FACTORS CLEARINGHOUSE</t>
  </si>
  <si>
    <r>
      <t>CMF</t>
    </r>
    <r>
      <rPr>
        <sz val="11"/>
        <color rgb="FFFF0000"/>
        <rFont val="Calibri"/>
        <family val="2"/>
        <scheme val="minor"/>
      </rPr>
      <t xml:space="preserve"> - Factor 2</t>
    </r>
  </si>
  <si>
    <r>
      <t>CMF</t>
    </r>
    <r>
      <rPr>
        <sz val="11"/>
        <color rgb="FFFF0000"/>
        <rFont val="Calibri"/>
        <family val="2"/>
        <scheme val="minor"/>
      </rPr>
      <t xml:space="preserve"> - Factor 3</t>
    </r>
  </si>
  <si>
    <r>
      <t>CMF</t>
    </r>
    <r>
      <rPr>
        <sz val="11"/>
        <color rgb="FFFF0000"/>
        <rFont val="Calibri"/>
        <family val="2"/>
        <scheme val="minor"/>
      </rPr>
      <t xml:space="preserve"> - Factor 4</t>
    </r>
  </si>
  <si>
    <t>Quality of Life - Bus Stops (Clocks)</t>
  </si>
  <si>
    <t>$2020 Transit Trip</t>
  </si>
  <si>
    <t>Quality of Life - Bus Stops (Electronic Real-Time Information Displays)</t>
  </si>
  <si>
    <t>Quality of Life - Bus Stops (Information</t>
  </si>
  <si>
    <t>/Emergency Button)</t>
  </si>
  <si>
    <t>Quality of Life - Bus Stops (PA System)</t>
  </si>
  <si>
    <t>Quality of Life - Bus Stops (Platform/Stop Seating Availability1)</t>
  </si>
  <si>
    <t>Quality of Life - Bus Stops (Platform/Stop</t>
  </si>
  <si>
    <t>Weather Protection1)</t>
  </si>
  <si>
    <t>Quality of Life - Bus Stops (Restroom</t>
  </si>
  <si>
    <t>Availability)</t>
  </si>
  <si>
    <t>Quality of Life - Bus Stops (Retail/Food Outlet Availability)</t>
  </si>
  <si>
    <t>Quality of Life - Bus Stops (Staff Availability)</t>
  </si>
  <si>
    <t>Quality of Life - Bus Stops (Step-Free Access to Station/Stop)</t>
  </si>
  <si>
    <t>Quality of Life - Bus Stops (Step-Free Access to Vehicle)</t>
  </si>
  <si>
    <t>Quality of Life - Bus Stops (Surveillance Cameras)</t>
  </si>
  <si>
    <t>Quality of Life - Bus Stops (Temperature Controlled Environment1)</t>
  </si>
  <si>
    <t>Quality of Life - Bus Stops (Ticket Machines)</t>
  </si>
  <si>
    <t>Quality of Life - Bus Stops (Timetables)</t>
  </si>
  <si>
    <t>Quality of Life - Light Rail/Street Car Stops (Clocks)</t>
  </si>
  <si>
    <t>Quality of Life - Light Rail/Street Car Stops (Electronic Real-Time Information Displays)</t>
  </si>
  <si>
    <t>Quality of Life - Light Rail/Street Car Stops (Information</t>
  </si>
  <si>
    <t>Quality of Life - Light Rail/Street Car Stops (PA System)</t>
  </si>
  <si>
    <t>Quality of Life - Light Rail/Street Car Stops (Platform/Stop Seating Availability1)</t>
  </si>
  <si>
    <t>Quality of Life - Light Rail/Street Car Stops (Platform/Stop</t>
  </si>
  <si>
    <t>Quality of Life - Light Rail/Street Car Stops (Restroom</t>
  </si>
  <si>
    <t>Quality of Life - Light Rail/Street Car Stops (Retail/Food Outlet Availability)</t>
  </si>
  <si>
    <t>Quality of Life - Light Rail/Street Car Stops (Staff Availability)</t>
  </si>
  <si>
    <t>Quality of Life - Light Rail/Street Car Stops (Step-Free Access to Station/Stop)</t>
  </si>
  <si>
    <t>Quality of Life - Light Rail/Street Car Stops (Step-Free Access to Vehicle)</t>
  </si>
  <si>
    <t>Quality of Life - Light Rail/Street Car Stops (Surveillance Cameras)</t>
  </si>
  <si>
    <t>Quality of Life - Light Rail/Street Car Stops (Temperature Controlled Environment1)</t>
  </si>
  <si>
    <t>Quality of Life - Light Rail/Street Car Stops (Ticket Machines)</t>
  </si>
  <si>
    <t>Quality of Life - Light Rail/Street Car Stops (Timetables)</t>
  </si>
  <si>
    <t>Quality of Life - Rail Stations (Clocks)</t>
  </si>
  <si>
    <t>Quality of Life - Rail Stations (Electronic Real-Time Information Displays)</t>
  </si>
  <si>
    <t>Quality of Life - Rail Stations (Information</t>
  </si>
  <si>
    <t>Quality of Life - Rail Stations (PA System)</t>
  </si>
  <si>
    <t>Quality of Life - Rail Stations (Platform/Stop Seating Availability1)</t>
  </si>
  <si>
    <t>Quality of Life - Rail Stations (Platform/Stop</t>
  </si>
  <si>
    <t>Quality of Life - Rail Stations (Restroom</t>
  </si>
  <si>
    <t>Quality of Life - Rail Stations (Retail/Food Outlet Availability)</t>
  </si>
  <si>
    <t>Quality of Life - Rail Stations (Staff Availability)</t>
  </si>
  <si>
    <t>Quality of Life - Rail Stations (Step-Free Access to Station/Stop)</t>
  </si>
  <si>
    <t>Quality of Life - Rail Stations (Step-Free Access to Vehicle)</t>
  </si>
  <si>
    <t>Quality of Life - Rail Stations (Surveillance Cameras)</t>
  </si>
  <si>
    <t>Quality of Life - Rail Stations (Temperature Controlled Environment1)</t>
  </si>
  <si>
    <t>Quality of Life - Rail Stations (Ticket Machines)</t>
  </si>
  <si>
    <t>Quality of Life - Rail Stations (Timetables)</t>
  </si>
  <si>
    <t>Quality of Life - Rail Stations (Bike Facilities)</t>
  </si>
  <si>
    <t>Quality of Life - Rail Stations (Car Access Facilities)</t>
  </si>
  <si>
    <t>Quality of Life - Rail Stations (Elevator)</t>
  </si>
  <si>
    <t>Quality of Life - Rail Stations (Escalators)</t>
  </si>
  <si>
    <t>Quality of Life - Rail Stations (On-Site Ticket Office)</t>
  </si>
  <si>
    <t>Quality of Life - Rail Stations (Taxi Pickup/Dropoff)</t>
  </si>
  <si>
    <t>Quality of Life - Rail Stations (Waiting Room1)</t>
  </si>
  <si>
    <t>Quality of Life - Bus (Electronic Real-Time</t>
  </si>
  <si>
    <t>Information Displays)</t>
  </si>
  <si>
    <t>Quality of Life - Bus (Handrails)</t>
  </si>
  <si>
    <t>Quality of Life - Bus (Luggage Storage)</t>
  </si>
  <si>
    <t>Quality of Life - Bus (PA System)</t>
  </si>
  <si>
    <t>Quality of Life - Bus (Surveillance Cameras)</t>
  </si>
  <si>
    <t>Quality of Life - Bus (Temperature Control)</t>
  </si>
  <si>
    <t>Quality of Life - Bus (Wheelchair Space)</t>
  </si>
  <si>
    <t>Quality of Life - Light Rail/Streetcar (Electronic Real-Time</t>
  </si>
  <si>
    <t>Quality of Life - Light Rail/Streetcar (Handrails)</t>
  </si>
  <si>
    <t>Quality of Life - Light Rail/Streetcar (Luggage Storage)</t>
  </si>
  <si>
    <t>Quality of Life - Light Rail/Streetcar (PA System)</t>
  </si>
  <si>
    <t>Quality of Life - Light Rail/Streetcar (Surveillance Cameras)</t>
  </si>
  <si>
    <t>Quality of Life - Light Rail/Streetcar (Temperature Control)</t>
  </si>
  <si>
    <t>Quality of Life - Light Rail/Streetcar (Wheelchair Space)</t>
  </si>
  <si>
    <t>Quality of Life - Rail (Electronic Real-Time</t>
  </si>
  <si>
    <t>Quality of Life - Rail (Handrails)</t>
  </si>
  <si>
    <t>Quality of Life - Rail (Luggage Storage)</t>
  </si>
  <si>
    <t>Quality of Life - Rail (PA System)</t>
  </si>
  <si>
    <t>Quality of Life - Rail (Surveillance Cameras)</t>
  </si>
  <si>
    <t>Quality of Life - Rail (Temperature Control)</t>
  </si>
  <si>
    <t>Quality of Life - Rail (Wheelchair Space)</t>
  </si>
  <si>
    <t>Quality of Life - Rail (Food Service Availability)</t>
  </si>
  <si>
    <t>Quality of Life - Rail (Restroom Availability)</t>
  </si>
  <si>
    <t>Quality of Life - Light Duty  - Urban (Congestion)</t>
  </si>
  <si>
    <t>$2020 per VMT</t>
  </si>
  <si>
    <t>Quality of Life - Light Duty  - Rural (Congestion)</t>
  </si>
  <si>
    <t>Quality of Life - Light Duty  - All (Congestion)</t>
  </si>
  <si>
    <t>Quality of Life - Bus and Truck  - Urban (Congestion)</t>
  </si>
  <si>
    <t>Quality of Life - Bus and Truck  - Rural (Congestion)</t>
  </si>
  <si>
    <t>Quality of Life - Bus and Truck  - All (Congestion)</t>
  </si>
  <si>
    <t>Quality of Life - All Vehicles  - Urban (Congestion)</t>
  </si>
  <si>
    <t>Quality of Life - All Vehicles  - Rural (Congestion)</t>
  </si>
  <si>
    <t>Quality of Life - All Vehicles  - All (Congestion)</t>
  </si>
  <si>
    <t>Quality of Life - Light Duty  - Urban (Noise)</t>
  </si>
  <si>
    <t>Quality of Life - Light Duty  - Rural (Noise)</t>
  </si>
  <si>
    <t>Quality of Life - Light Duty  - All (Noise)</t>
  </si>
  <si>
    <t>Quality of Life - Bus and Truck  - Urban (Noise)</t>
  </si>
  <si>
    <t>Quality of Life - Bus and Truck  - Rural (Noise)</t>
  </si>
  <si>
    <t>Quality of Life - Bus and Truck  - All (Noise)</t>
  </si>
  <si>
    <t>Quality of Life - All Vehicles  - Urban (Noise)</t>
  </si>
  <si>
    <t>Quality of Life - All Vehicles  - Rural (Noise)</t>
  </si>
  <si>
    <t>Quality of Life - All Vehicles  - All (Noise)</t>
  </si>
  <si>
    <t>Emissions Rate NOx - Passenger Vehicle</t>
  </si>
  <si>
    <t>grams per mile</t>
  </si>
  <si>
    <t>Emissions Rate NOx - Commercial Vehicle</t>
  </si>
  <si>
    <t>Emissions Rate SOx - Passenger Vehicle</t>
  </si>
  <si>
    <t>Emissions Rate SOx - Commercial Vehicle</t>
  </si>
  <si>
    <t>Emissions Rate PM2.5 - Passenger Vehicle</t>
  </si>
  <si>
    <t>Emissions Rate PM2.5 - Commercial Vehicle</t>
  </si>
  <si>
    <t>Emissions Rate CO2 - Passenger Vehicle</t>
  </si>
  <si>
    <t>Emissions Rate CO2 - Commercial Vehicle</t>
  </si>
  <si>
    <t>Emissions Cost  NOx - 2021</t>
  </si>
  <si>
    <t>$2020 per metric ton</t>
  </si>
  <si>
    <t>Emissions Cost  NOx - 2022</t>
  </si>
  <si>
    <t>Emissions Cost  NOx - 2023</t>
  </si>
  <si>
    <t>Emissions Cost  NOx - 2024</t>
  </si>
  <si>
    <t>Emissions Cost  NOx - 2025</t>
  </si>
  <si>
    <t>Emissions Cost  NOx - 2026</t>
  </si>
  <si>
    <t>Emissions Cost  NOx - 2027</t>
  </si>
  <si>
    <t>Emissions Cost  NOx - 2028</t>
  </si>
  <si>
    <t>Emissions Cost  NOx - 2029</t>
  </si>
  <si>
    <t>Emissions Cost  NOx - 2030</t>
  </si>
  <si>
    <t>Emissions Cost  SOx - 2021</t>
  </si>
  <si>
    <t>Emissions Cost  SOx - 2022</t>
  </si>
  <si>
    <t>Emissions Cost  SOx - 2023</t>
  </si>
  <si>
    <t>Emissions Cost  SOx - 2024</t>
  </si>
  <si>
    <t>Emissions Cost  SOx - 2025</t>
  </si>
  <si>
    <t>Emissions Cost  SOx - 2026</t>
  </si>
  <si>
    <t>Emissions Cost  SOx - 2027</t>
  </si>
  <si>
    <t>Emissions Cost  SOx - 2028</t>
  </si>
  <si>
    <t>Emissions Cost  SOx - 2029</t>
  </si>
  <si>
    <t>Emissions Cost  SOx - 2030</t>
  </si>
  <si>
    <t>Emissions Cost  PM2.5 - 2021</t>
  </si>
  <si>
    <t>Emissions Cost  PM2.5 - 2022</t>
  </si>
  <si>
    <t>Emissions Cost  PM2.5 - 2023</t>
  </si>
  <si>
    <t>Emissions Cost  PM2.5 - 2024</t>
  </si>
  <si>
    <t>Emissions Cost  PM2.5 - 2025</t>
  </si>
  <si>
    <t>Emissions Cost  PM2.5 - 2026</t>
  </si>
  <si>
    <t>Emissions Cost  PM2.5 - 2027</t>
  </si>
  <si>
    <t>Emissions Cost  PM2.5 - 2028</t>
  </si>
  <si>
    <t>Emissions Cost  PM2.5 - 2029</t>
  </si>
  <si>
    <t>Emissions Cost  PM2.5 - 2030</t>
  </si>
  <si>
    <t>Emissions Cost CO2 - 2021</t>
  </si>
  <si>
    <t>After calculating benefit, discount by 3% before adding to the other benefits</t>
  </si>
  <si>
    <t>Emissions Cost CO2 - 2022</t>
  </si>
  <si>
    <t>Emissions Cost CO2 - 2023</t>
  </si>
  <si>
    <t>Emissions Cost CO2 - 2024</t>
  </si>
  <si>
    <t>Emissions Cost CO2 - 2025</t>
  </si>
  <si>
    <t>Emissions Cost CO2 - 2026</t>
  </si>
  <si>
    <t>Emissions Cost CO2 - 2027</t>
  </si>
  <si>
    <t>Emissions Cost CO2 - 2028</t>
  </si>
  <si>
    <t>Emissions Cost CO2 - 2029</t>
  </si>
  <si>
    <t>Emissions Cost CO2 - 2030</t>
  </si>
  <si>
    <t>Emissions Cost CO2 - 2031</t>
  </si>
  <si>
    <t>Emissions Cost CO2 - 2032</t>
  </si>
  <si>
    <t>Emissions Cost CO2 - 2033</t>
  </si>
  <si>
    <t>Emissions Cost CO2 - 2034</t>
  </si>
  <si>
    <t>Emissions Cost CO2 - 2035</t>
  </si>
  <si>
    <t>Emissions Cost CO2 - 2036</t>
  </si>
  <si>
    <t>Emissions Cost CO2 - 2037</t>
  </si>
  <si>
    <t>Emissions Cost CO2 - 2038</t>
  </si>
  <si>
    <t>Emissions Cost CO2 - 2039</t>
  </si>
  <si>
    <t>Emissions Cost CO2 - 2040</t>
  </si>
  <si>
    <t>Emissions Cost CO2 - 2041</t>
  </si>
  <si>
    <t>Emissions Cost CO2 - 2042</t>
  </si>
  <si>
    <t>Emissions Cost CO2 - 2043</t>
  </si>
  <si>
    <t>Emissions Cost CO2 - 2044</t>
  </si>
  <si>
    <t>Emissions Cost CO2 - 2045</t>
  </si>
  <si>
    <t>Emissions Cost CO2 - 2046</t>
  </si>
  <si>
    <t>Emissions Cost CO2 - 2047</t>
  </si>
  <si>
    <t>Emissions Cost CO2 - 2048</t>
  </si>
  <si>
    <t>Emissions Cost CO2 - 2049</t>
  </si>
  <si>
    <t>Emissions Cost CO2 - 2050</t>
  </si>
  <si>
    <t>CCTA ATCMTD Vol 1</t>
  </si>
  <si>
    <t>Improve congestion</t>
  </si>
  <si>
    <t>Improve reliability</t>
  </si>
  <si>
    <t>Mode shift</t>
  </si>
  <si>
    <t>Increase Transit ridership</t>
  </si>
  <si>
    <t>8-10%</t>
  </si>
  <si>
    <t>2-5%</t>
  </si>
  <si>
    <t>Assocaited with mode shift. Safety benefit associated with transit trips, reduced transit crash rate</t>
  </si>
  <si>
    <t>Year</t>
  </si>
  <si>
    <t>Total Person Trips</t>
  </si>
  <si>
    <t>Internal to Contra Costa</t>
  </si>
  <si>
    <t>One End in Contra Costa</t>
  </si>
  <si>
    <t>Total Person Trips by Distance</t>
  </si>
  <si>
    <t>0 - 0.5 miles</t>
  </si>
  <si>
    <t>0.5 - 1 mile</t>
  </si>
  <si>
    <t>1 - 2 miles</t>
  </si>
  <si>
    <t>2 - 5 miles</t>
  </si>
  <si>
    <t>5 - 10 miles</t>
  </si>
  <si>
    <t>10 - 20 miles</t>
  </si>
  <si>
    <t>20+ miles</t>
  </si>
  <si>
    <t>All Trips</t>
  </si>
  <si>
    <t>Person Trips by Mode</t>
  </si>
  <si>
    <t>Transit</t>
  </si>
  <si>
    <t>Bike</t>
  </si>
  <si>
    <t>Walk</t>
  </si>
  <si>
    <t>Vehicle Trips</t>
  </si>
  <si>
    <t>VMT</t>
  </si>
  <si>
    <t>Total Person Trips by Distance 0.5 - 1 miles (Daily CC Internal)</t>
  </si>
  <si>
    <t>Total Person Trips by Distance 0 - 0.5 miles (Daily CC Internal)</t>
  </si>
  <si>
    <t>Total Person Trips by Distance 1 - 2 miles (Daily CC Internal)</t>
  </si>
  <si>
    <t>Total Person Trips by Distance 2 - 5 miles (Daily CC Internal)</t>
  </si>
  <si>
    <t>Total Person Trips by Distance 5 - 10 miles (Daily CC Internal)</t>
  </si>
  <si>
    <t>Total Person Trips by Distance 10 - 20 miles (Daily CC Internal)</t>
  </si>
  <si>
    <t>Total Person Trips by Distance 20+ miles (Daily CC Internal)</t>
  </si>
  <si>
    <t>VMT (Daily CC Internal)</t>
  </si>
  <si>
    <t>Begin in Contra Costa to external</t>
  </si>
  <si>
    <t>Cites a study where ridesharing programs can reduce VMT for workplace commutes by 4-6%</t>
  </si>
  <si>
    <t>https://escholarship.org/uc/item/9678b4xs#article_main</t>
  </si>
  <si>
    <t>Fuel consumption reduction</t>
  </si>
  <si>
    <t>450-900k</t>
  </si>
  <si>
    <t>GHG reduction</t>
  </si>
  <si>
    <t>4-5%</t>
  </si>
  <si>
    <t>Adjustment factors for Build Scenario</t>
  </si>
  <si>
    <t>Assume 8-10% mode shift resulting from MOD</t>
  </si>
  <si>
    <t>Assume 5% VMT reduction resulting from MOD (associated with ridesharing), VMT reduction associated with mode shift?</t>
  </si>
  <si>
    <t>Assume majority of mode shift trips are HBW Auto to Transit for trips that begin in CC and end outside of CC</t>
  </si>
  <si>
    <t>Person Trips (Daily)</t>
  </si>
  <si>
    <t xml:space="preserve">Total </t>
  </si>
  <si>
    <t>Person Trips (Daily begin in CC end External)</t>
  </si>
  <si>
    <t>Person Trips (Daily Internal CC)</t>
  </si>
  <si>
    <t>CCTA narrative</t>
  </si>
  <si>
    <t>VMT (Daily begin in CC end Externa)</t>
  </si>
  <si>
    <t>VMT (Daily)</t>
  </si>
  <si>
    <t>From CCTA Model</t>
  </si>
  <si>
    <t>Transit Ticketing benefit</t>
  </si>
  <si>
    <t>Discounted</t>
  </si>
  <si>
    <t>Undiscounted</t>
  </si>
  <si>
    <t>QOL Walk</t>
  </si>
  <si>
    <t>QOL Bike</t>
  </si>
  <si>
    <t>PM2</t>
  </si>
  <si>
    <t>NOx Benefit</t>
  </si>
  <si>
    <t>Project Lifecycle (2023-2053)</t>
  </si>
  <si>
    <t>MOD - Phases 2 Countywide MOD Implementation</t>
  </si>
  <si>
    <t>Referenced from "From Cost Spreadsheet" tab</t>
  </si>
  <si>
    <t>Market penetration of MOD platform (i.e. how many daily trips are impacted by MOD platform). All mode changing will be applied to this subset of trips</t>
  </si>
  <si>
    <t>Trips Impacted by MOD</t>
  </si>
  <si>
    <t>There is no "true" value for this. For now, we are assuming that it is low</t>
  </si>
  <si>
    <t>Number of Weekdays in Year</t>
  </si>
  <si>
    <t>Day</t>
  </si>
  <si>
    <t>MOD Transit Ticketing Benefit</t>
  </si>
  <si>
    <t>Walking QOL Benefit</t>
  </si>
  <si>
    <t>Biking QOL Benefit</t>
  </si>
  <si>
    <t>Overall reduction in auto trips due to MOD (these will switch to transit/walk/bike) Assuming half of the 10% mode shift (CCTA) goes to rideshare (still auto trips)</t>
  </si>
  <si>
    <t>Fraction of former auto trips switching mode due to MOD - commuting to work trips</t>
  </si>
  <si>
    <t>Fraction of former auto trips switching mode due to MOD - shorter trips incentived to switch to bike</t>
  </si>
  <si>
    <t>Fraction of former auto trips switching mode due to MOD - shorter trips incentived to switch to walk</t>
  </si>
  <si>
    <t>Emissions Savings Benefit</t>
  </si>
  <si>
    <t>Safety VMT Benefit</t>
  </si>
  <si>
    <t>PDO Estimate (Daily)</t>
  </si>
  <si>
    <t>Fatal Estimate (Daily)</t>
  </si>
  <si>
    <t>PDO</t>
  </si>
  <si>
    <t>Injury</t>
  </si>
  <si>
    <t>Fatal</t>
  </si>
  <si>
    <t>Crashes per MVM</t>
  </si>
  <si>
    <t>Crash reduction benefit</t>
  </si>
  <si>
    <t>Injury Estimate (Daily)</t>
  </si>
  <si>
    <t>Safety Benefit</t>
  </si>
  <si>
    <t>Appendix A Recommended Parameter Values (USDOT BCA Guidance 2022)</t>
  </si>
  <si>
    <t>Table A-4 Avg Vehicle Occupany Rates for Highway Passenger Vehicles</t>
  </si>
  <si>
    <t>Table A-6 Damage costs for Emissions per metric ton</t>
  </si>
  <si>
    <t>Recommended Monitized Value(s)</t>
  </si>
  <si>
    <t>Recommended Values</t>
  </si>
  <si>
    <t>Vehicle Type</t>
  </si>
  <si>
    <t>Average occupany</t>
  </si>
  <si>
    <t>Emissions</t>
  </si>
  <si>
    <t>Nox</t>
  </si>
  <si>
    <t>So2</t>
  </si>
  <si>
    <t>PM 2.5</t>
  </si>
  <si>
    <t>PM 10</t>
  </si>
  <si>
    <t>Passenger Vehicles (Weekday Peak)</t>
  </si>
  <si>
    <t>Passenger Vehicles (Weekday Off-Peak)</t>
  </si>
  <si>
    <t>Passenger Vehicles (Weekend)</t>
  </si>
  <si>
    <t>Passenger Vehicles (All Travel)</t>
  </si>
  <si>
    <t>Table A-5 Vehicle Operating Costs</t>
  </si>
  <si>
    <t>KABCO Level</t>
  </si>
  <si>
    <t>Monetized Value ($2020)</t>
  </si>
  <si>
    <t>Per Mile ($2020)</t>
  </si>
  <si>
    <t>O-No Injury</t>
  </si>
  <si>
    <t>Light Duty Vehicles</t>
  </si>
  <si>
    <t>C-Possible Injury</t>
  </si>
  <si>
    <t>Commercial Trucks</t>
  </si>
  <si>
    <t>B-Non-Incapacitating</t>
  </si>
  <si>
    <t>A-Incapacitating</t>
  </si>
  <si>
    <t>Table A-7 Inflation Adjustment Values</t>
  </si>
  <si>
    <t>K-Killed</t>
  </si>
  <si>
    <t>U-Injured (Severity Unknown)</t>
  </si>
  <si>
    <t>Base Year of Nominal Dollar</t>
  </si>
  <si>
    <t>Multiplier to Adjust to Real $2020</t>
  </si>
  <si>
    <t># Accidents Reported (Unknown if injured)</t>
  </si>
  <si>
    <t>Crash Type</t>
  </si>
  <si>
    <t>Table A-2: Property Damage Only (PDO) Crashes</t>
  </si>
  <si>
    <t>Monetized Value ($2020)/vehicle</t>
  </si>
  <si>
    <t>Table A-3: Value of Travel Time Savings</t>
  </si>
  <si>
    <t>Recommnded Hourly Values of Travel Time Savings (2020 U.S.$person-hour)</t>
  </si>
  <si>
    <t>Category</t>
  </si>
  <si>
    <t>Hourly Value</t>
  </si>
  <si>
    <t>In-Vehicle Travel</t>
  </si>
  <si>
    <t>Personal*</t>
  </si>
  <si>
    <t>Business</t>
  </si>
  <si>
    <t>All Purposes</t>
  </si>
  <si>
    <t>Commercial Vehilce Operators</t>
  </si>
  <si>
    <t>Truck Drivers</t>
  </si>
  <si>
    <t>Bus Drivers</t>
  </si>
  <si>
    <t>2021*</t>
  </si>
  <si>
    <t>Transit Rail Operators</t>
  </si>
  <si>
    <t>2022*</t>
  </si>
  <si>
    <t>Locomotive Engineers</t>
  </si>
  <si>
    <t>2023*</t>
  </si>
  <si>
    <t>2024*</t>
  </si>
  <si>
    <t>* Used blended rate for 75% intercity travel and 25% local travel</t>
  </si>
  <si>
    <t>2025*</t>
  </si>
  <si>
    <t>2026*</t>
  </si>
  <si>
    <t>Particulate Matter (PM 10)($2016); Used same factor as PM 2.5</t>
  </si>
  <si>
    <t>* Adjustment value extrapolated</t>
  </si>
  <si>
    <t>Caltrans Vehicle Operation Cost Parameters</t>
  </si>
  <si>
    <t>2020$</t>
  </si>
  <si>
    <t>Auto Op Cost Benefit</t>
  </si>
  <si>
    <t>Auto Time Benefit</t>
  </si>
  <si>
    <t xml:space="preserve">Annual Car Person-Hours of Delay </t>
  </si>
  <si>
    <t>Annual Truck Person-Hours of Delay</t>
  </si>
  <si>
    <t>Travel Time Savings</t>
  </si>
  <si>
    <t>Truck Time Benefit</t>
  </si>
  <si>
    <t>Annual Person Hours of Delay</t>
  </si>
  <si>
    <t>Annual Truck Hours of Delay</t>
  </si>
  <si>
    <t>Auto Cost and Time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</si>
</sst>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
    <numFmt numFmtId="165" formatCode="0.0"/>
    <numFmt numFmtId="166" formatCode="&quot;$&quot;#,##0"/>
    <numFmt numFmtId="167" formatCode="0.0%"/>
    <numFmt numFmtId="168" formatCode="_(&quot;$&quot;* #,##0_);_(&quot;$&quot;* \(#,##0\);_(&quot;$&quot;* &quot;-&quot;??_);_(@_)"/>
    <numFmt numFmtId="169" formatCode="_(* #,##0_);_(* \(#,##0\);_(* &quot;-&quot;??_);_(@_)"/>
    <numFmt numFmtId="170" formatCode="#,##0.0_);\(#,##0.0\)"/>
    <numFmt numFmtId="171" formatCode="[$-409]mmm\-yy;@"/>
    <numFmt numFmtId="172" formatCode="0.000000_);[Red]\(0.000000\)"/>
    <numFmt numFmtId="173" formatCode="0.00000"/>
    <numFmt numFmtId="174" formatCode="&quot;$&quot;#,##0.00"/>
    <numFmt numFmtId="175" formatCode="0.0000"/>
  </numFmts>
  <fonts count="33" x14ac:knownFonts="1">
    <font>
      <sz val="11"/>
      <color theme="1"/>
      <name val="Calibri"/>
      <family val="2"/>
      <scheme val="minor"/>
    </font>
    <font>
      <sz val="10"/>
      <color theme="1"/>
      <name val="Segoe UI"/>
      <family val="2"/>
    </font>
    <font>
      <sz val="10"/>
      <color theme="1"/>
      <name val="Segoe UI"/>
      <family val="2"/>
    </font>
    <font>
      <sz val="10"/>
      <color theme="1"/>
      <name val="Segoe UI"/>
      <family val="2"/>
    </font>
    <font>
      <sz val="10"/>
      <color theme="1"/>
      <name val="Segoe UI"/>
      <family val="2"/>
    </font>
    <font>
      <b/>
      <sz val="11"/>
      <color theme="1"/>
      <name val="Calibri"/>
      <family val="2"/>
      <scheme val="minor"/>
    </font>
    <font>
      <sz val="11"/>
      <color theme="1"/>
      <name val="Calibri"/>
      <family val="2"/>
      <scheme val="minor"/>
    </font>
    <font>
      <b/>
      <sz val="10"/>
      <name val="Arial"/>
      <family val="2"/>
    </font>
    <font>
      <sz val="10"/>
      <name val="Arial"/>
      <family val="2"/>
    </font>
    <font>
      <u/>
      <sz val="11"/>
      <color theme="10"/>
      <name val="Calibri"/>
      <family val="2"/>
      <scheme val="minor"/>
    </font>
    <font>
      <sz val="11"/>
      <name val="Calibri"/>
      <family val="2"/>
      <scheme val="minor"/>
    </font>
    <font>
      <b/>
      <sz val="14"/>
      <color theme="1"/>
      <name val="Calibri"/>
      <family val="2"/>
      <scheme val="minor"/>
    </font>
    <font>
      <sz val="10"/>
      <name val="Arial"/>
      <family val="2"/>
    </font>
    <font>
      <b/>
      <i/>
      <sz val="11"/>
      <color theme="1"/>
      <name val="Calibri"/>
      <family val="2"/>
      <scheme val="minor"/>
    </font>
    <font>
      <sz val="10"/>
      <color theme="1"/>
      <name val="Calibri"/>
      <family val="2"/>
      <scheme val="minor"/>
    </font>
    <font>
      <sz val="10"/>
      <name val="Calibri"/>
      <family val="2"/>
      <scheme val="minor"/>
    </font>
    <font>
      <sz val="11"/>
      <color rgb="FF006100"/>
      <name val="Calibri"/>
      <family val="2"/>
      <scheme val="minor"/>
    </font>
    <font>
      <sz val="11"/>
      <color rgb="FF9C5700"/>
      <name val="Calibri"/>
      <family val="2"/>
      <scheme val="minor"/>
    </font>
    <font>
      <b/>
      <sz val="11"/>
      <name val="Calibri"/>
      <family val="2"/>
      <scheme val="minor"/>
    </font>
    <font>
      <b/>
      <sz val="12"/>
      <color theme="1"/>
      <name val="Calibri"/>
      <family val="2"/>
      <scheme val="minor"/>
    </font>
    <font>
      <sz val="11"/>
      <color rgb="FF000000"/>
      <name val="Calibri"/>
      <family val="2"/>
      <scheme val="minor"/>
    </font>
    <font>
      <b/>
      <sz val="12"/>
      <name val="Calibri"/>
      <family val="2"/>
      <scheme val="minor"/>
    </font>
    <font>
      <b/>
      <sz val="12"/>
      <color rgb="FFFF0000"/>
      <name val="Calibri"/>
      <family val="2"/>
      <scheme val="minor"/>
    </font>
    <font>
      <sz val="12"/>
      <color theme="1"/>
      <name val="Calibri"/>
      <family val="2"/>
      <scheme val="minor"/>
    </font>
    <font>
      <sz val="11"/>
      <color rgb="FFFF0000"/>
      <name val="Calibri"/>
      <family val="2"/>
      <scheme val="minor"/>
    </font>
    <font>
      <sz val="14"/>
      <color theme="1"/>
      <name val="Calibri"/>
      <family val="2"/>
      <scheme val="minor"/>
    </font>
    <font>
      <b/>
      <u/>
      <sz val="11"/>
      <color rgb="FF000000"/>
      <name val="Calibri"/>
      <family val="2"/>
      <scheme val="minor"/>
    </font>
    <font>
      <b/>
      <sz val="11"/>
      <color rgb="FF000000"/>
      <name val="Calibri"/>
      <family val="2"/>
      <scheme val="minor"/>
    </font>
    <font>
      <u/>
      <sz val="11"/>
      <color rgb="FF0563C1"/>
      <name val="Calibri"/>
      <family val="2"/>
      <scheme val="minor"/>
    </font>
    <font>
      <b/>
      <sz val="10"/>
      <color theme="1"/>
      <name val="Segoe UI"/>
      <family val="2"/>
    </font>
    <font>
      <sz val="10"/>
      <color rgb="FF006100"/>
      <name val="Segoe UI"/>
      <family val="2"/>
    </font>
    <font>
      <b/>
      <i/>
      <sz val="10"/>
      <color theme="1"/>
      <name val="Segoe UI"/>
      <family val="2"/>
    </font>
    <font>
      <i/>
      <sz val="11"/>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00B0F0"/>
        <bgColor indexed="64"/>
      </patternFill>
    </fill>
  </fills>
  <borders count="68">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medium">
        <color auto="1"/>
      </top>
      <bottom style="medium">
        <color auto="1"/>
      </bottom>
      <diagonal/>
    </border>
    <border>
      <left style="medium">
        <color auto="1"/>
      </left>
      <right/>
      <top style="dashed">
        <color auto="1"/>
      </top>
      <bottom style="medium">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auto="1"/>
      </left>
      <right style="thin">
        <color auto="1"/>
      </right>
      <top style="dashed">
        <color auto="1"/>
      </top>
      <bottom/>
      <diagonal/>
    </border>
    <border>
      <left style="thin">
        <color auto="1"/>
      </left>
      <right style="thin">
        <color auto="1"/>
      </right>
      <top style="dashed">
        <color auto="1"/>
      </top>
      <bottom/>
      <diagonal/>
    </border>
    <border>
      <left/>
      <right/>
      <top style="medium">
        <color indexed="64"/>
      </top>
      <bottom/>
      <diagonal/>
    </border>
    <border>
      <left/>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s>
  <cellStyleXfs count="17">
    <xf numFmtId="0" fontId="0" fillId="0" borderId="0"/>
    <xf numFmtId="9" fontId="6"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9"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2" fillId="0" borderId="0"/>
    <xf numFmtId="0" fontId="16" fillId="8" borderId="0" applyNumberFormat="0" applyBorder="0" applyAlignment="0" applyProtection="0"/>
    <xf numFmtId="0" fontId="17"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4" fillId="0" borderId="0"/>
    <xf numFmtId="0" fontId="30" fillId="8" borderId="0" applyNumberFormat="0" applyBorder="0" applyAlignment="0" applyProtection="0"/>
    <xf numFmtId="0" fontId="8" fillId="0" borderId="0"/>
  </cellStyleXfs>
  <cellXfs count="623">
    <xf numFmtId="0" fontId="0" fillId="0" borderId="0" xfId="0"/>
    <xf numFmtId="0" fontId="0" fillId="0" borderId="0" xfId="0" applyAlignment="1">
      <alignment horizontal="right"/>
    </xf>
    <xf numFmtId="0" fontId="0" fillId="0" borderId="0" xfId="0" applyFill="1"/>
    <xf numFmtId="0" fontId="9" fillId="0" borderId="0" xfId="5"/>
    <xf numFmtId="0" fontId="0" fillId="0" borderId="0" xfId="0" applyAlignment="1">
      <alignment horizontal="center"/>
    </xf>
    <xf numFmtId="0" fontId="0" fillId="0" borderId="6" xfId="0" applyFill="1" applyBorder="1"/>
    <xf numFmtId="0" fontId="0" fillId="0" borderId="15" xfId="0" applyFill="1" applyBorder="1"/>
    <xf numFmtId="0" fontId="5" fillId="0" borderId="19" xfId="0" applyFont="1" applyBorder="1"/>
    <xf numFmtId="0" fontId="0" fillId="0" borderId="0" xfId="0" applyAlignment="1">
      <alignment wrapText="1"/>
    </xf>
    <xf numFmtId="0" fontId="0" fillId="0" borderId="0" xfId="0" applyBorder="1"/>
    <xf numFmtId="0" fontId="5" fillId="0" borderId="0" xfId="0" applyFont="1"/>
    <xf numFmtId="0" fontId="0" fillId="0" borderId="0" xfId="0" applyFill="1" applyBorder="1"/>
    <xf numFmtId="0" fontId="5" fillId="0" borderId="0" xfId="0" applyFont="1" applyBorder="1"/>
    <xf numFmtId="168" fontId="5" fillId="0" borderId="0" xfId="7" applyNumberFormat="1" applyFont="1" applyFill="1" applyBorder="1"/>
    <xf numFmtId="0" fontId="5" fillId="0" borderId="18" xfId="0" applyFont="1" applyBorder="1" applyAlignment="1">
      <alignment horizontal="center"/>
    </xf>
    <xf numFmtId="42" fontId="0" fillId="0" borderId="0" xfId="0" applyNumberFormat="1"/>
    <xf numFmtId="164" fontId="0" fillId="0" borderId="0" xfId="0" applyNumberFormat="1"/>
    <xf numFmtId="0" fontId="0" fillId="0" borderId="0" xfId="0" applyAlignment="1">
      <alignment horizontal="right" indent="1"/>
    </xf>
    <xf numFmtId="167" fontId="0" fillId="0" borderId="0" xfId="0" applyNumberFormat="1"/>
    <xf numFmtId="165" fontId="0" fillId="0" borderId="0" xfId="0" applyNumberFormat="1"/>
    <xf numFmtId="170" fontId="0" fillId="0" borderId="0" xfId="0" applyNumberFormat="1"/>
    <xf numFmtId="10" fontId="0" fillId="0" borderId="0" xfId="0" applyNumberFormat="1"/>
    <xf numFmtId="10" fontId="0" fillId="0" borderId="0" xfId="0" applyNumberFormat="1" applyAlignment="1">
      <alignment horizontal="center"/>
    </xf>
    <xf numFmtId="42" fontId="0" fillId="0" borderId="0" xfId="0" applyNumberFormat="1" applyAlignment="1">
      <alignment horizontal="right" indent="1"/>
    </xf>
    <xf numFmtId="165" fontId="0" fillId="0" borderId="0" xfId="0" applyNumberFormat="1" applyAlignment="1">
      <alignment horizontal="right" indent="2"/>
    </xf>
    <xf numFmtId="0" fontId="0" fillId="0" borderId="0" xfId="0" applyAlignment="1">
      <alignment horizontal="center" vertical="center" wrapText="1"/>
    </xf>
    <xf numFmtId="2" fontId="0" fillId="0" borderId="0" xfId="0" applyNumberFormat="1" applyFill="1" applyAlignment="1">
      <alignment horizontal="center"/>
    </xf>
    <xf numFmtId="42" fontId="0" fillId="0" borderId="0" xfId="0" applyNumberFormat="1" applyFill="1"/>
    <xf numFmtId="2" fontId="0" fillId="0" borderId="0" xfId="0" applyNumberFormat="1" applyFill="1" applyAlignment="1">
      <alignment horizontal="center" vertical="center"/>
    </xf>
    <xf numFmtId="42" fontId="0" fillId="0" borderId="0" xfId="0" applyNumberFormat="1" applyFill="1" applyAlignment="1">
      <alignment vertical="center"/>
    </xf>
    <xf numFmtId="42" fontId="7" fillId="0" borderId="0" xfId="0" applyNumberFormat="1" applyFont="1" applyFill="1"/>
    <xf numFmtId="167" fontId="0" fillId="0" borderId="0" xfId="0" applyNumberFormat="1" applyFill="1"/>
    <xf numFmtId="171" fontId="0" fillId="0" borderId="0" xfId="0" applyNumberFormat="1" applyBorder="1"/>
    <xf numFmtId="0" fontId="5" fillId="0" borderId="19" xfId="0" applyFont="1" applyBorder="1" applyAlignment="1">
      <alignment horizontal="center"/>
    </xf>
    <xf numFmtId="0" fontId="0" fillId="0" borderId="0" xfId="0"/>
    <xf numFmtId="166" fontId="0" fillId="0" borderId="0" xfId="0" applyNumberFormat="1"/>
    <xf numFmtId="0" fontId="5" fillId="0" borderId="0" xfId="0" applyFont="1" applyFill="1"/>
    <xf numFmtId="169" fontId="0" fillId="0" borderId="0" xfId="0" applyNumberFormat="1"/>
    <xf numFmtId="0" fontId="0" fillId="0" borderId="0" xfId="0" applyAlignment="1"/>
    <xf numFmtId="0" fontId="11" fillId="0" borderId="0" xfId="0" applyFont="1"/>
    <xf numFmtId="42" fontId="9" fillId="0" borderId="0" xfId="5" applyNumberFormat="1" applyAlignment="1">
      <alignment vertical="center"/>
    </xf>
    <xf numFmtId="171" fontId="0" fillId="0" borderId="0" xfId="0" applyNumberFormat="1" applyFill="1" applyBorder="1"/>
    <xf numFmtId="17" fontId="5" fillId="0" borderId="0" xfId="0" applyNumberFormat="1" applyFont="1" applyBorder="1"/>
    <xf numFmtId="168" fontId="6" fillId="0" borderId="0" xfId="7" applyNumberFormat="1" applyFont="1" applyFill="1" applyBorder="1"/>
    <xf numFmtId="0" fontId="5" fillId="0" borderId="6" xfId="0" applyFont="1" applyBorder="1" applyAlignment="1">
      <alignment horizontal="right"/>
    </xf>
    <xf numFmtId="0" fontId="5" fillId="0" borderId="15" xfId="0" applyFont="1" applyBorder="1" applyAlignment="1">
      <alignment horizontal="right"/>
    </xf>
    <xf numFmtId="0" fontId="5" fillId="0" borderId="18" xfId="0" applyFont="1" applyBorder="1" applyAlignment="1">
      <alignment horizontal="right"/>
    </xf>
    <xf numFmtId="166" fontId="6" fillId="0" borderId="17" xfId="7" applyNumberFormat="1" applyFont="1" applyFill="1" applyBorder="1" applyAlignment="1">
      <alignment horizontal="right"/>
    </xf>
    <xf numFmtId="166" fontId="6" fillId="0" borderId="20" xfId="6" applyNumberFormat="1" applyFont="1" applyFill="1" applyBorder="1" applyAlignment="1">
      <alignment horizontal="right"/>
    </xf>
    <xf numFmtId="166" fontId="10" fillId="0" borderId="17" xfId="7" applyNumberFormat="1" applyFont="1" applyFill="1" applyBorder="1" applyAlignment="1">
      <alignment horizontal="right" vertical="center" wrapText="1"/>
    </xf>
    <xf numFmtId="166" fontId="10" fillId="0" borderId="20" xfId="7" applyNumberFormat="1" applyFont="1" applyFill="1" applyBorder="1" applyAlignment="1">
      <alignment horizontal="right" vertical="center"/>
    </xf>
    <xf numFmtId="166" fontId="10" fillId="0" borderId="20" xfId="7" applyNumberFormat="1" applyFont="1" applyFill="1" applyBorder="1" applyAlignment="1">
      <alignment horizontal="right" vertical="center" wrapText="1"/>
    </xf>
    <xf numFmtId="0" fontId="5" fillId="0" borderId="8" xfId="0" applyFont="1" applyBorder="1" applyAlignment="1">
      <alignment horizontal="right"/>
    </xf>
    <xf numFmtId="171" fontId="0" fillId="0" borderId="17" xfId="0" applyNumberFormat="1" applyFill="1" applyBorder="1" applyAlignment="1">
      <alignment horizontal="right"/>
    </xf>
    <xf numFmtId="168" fontId="0" fillId="0" borderId="17" xfId="7" applyNumberFormat="1" applyFont="1" applyBorder="1"/>
    <xf numFmtId="168" fontId="0" fillId="0" borderId="20" xfId="7" applyNumberFormat="1" applyFont="1" applyBorder="1"/>
    <xf numFmtId="0" fontId="0" fillId="0" borderId="7" xfId="1" applyNumberFormat="1" applyFont="1" applyFill="1" applyBorder="1"/>
    <xf numFmtId="0" fontId="0" fillId="0" borderId="16" xfId="1" applyNumberFormat="1" applyFont="1" applyFill="1" applyBorder="1"/>
    <xf numFmtId="168" fontId="0" fillId="0" borderId="16" xfId="0" applyNumberFormat="1" applyFill="1" applyBorder="1"/>
    <xf numFmtId="168" fontId="0" fillId="0" borderId="16" xfId="7" applyNumberFormat="1" applyFont="1" applyFill="1" applyBorder="1"/>
    <xf numFmtId="0" fontId="0" fillId="0" borderId="18" xfId="0" applyFill="1" applyBorder="1" applyAlignment="1">
      <alignment wrapText="1"/>
    </xf>
    <xf numFmtId="44" fontId="0" fillId="0" borderId="19" xfId="7" applyFont="1" applyFill="1" applyBorder="1"/>
    <xf numFmtId="0" fontId="14" fillId="0" borderId="0" xfId="0" applyFont="1"/>
    <xf numFmtId="0" fontId="5" fillId="0" borderId="9" xfId="0" applyFont="1" applyBorder="1" applyAlignment="1">
      <alignment horizontal="right"/>
    </xf>
    <xf numFmtId="168" fontId="0" fillId="0" borderId="30" xfId="7" applyNumberFormat="1" applyFont="1" applyBorder="1"/>
    <xf numFmtId="0" fontId="0" fillId="7" borderId="17" xfId="6" applyNumberFormat="1" applyFont="1" applyFill="1" applyBorder="1" applyAlignment="1">
      <alignment horizontal="center"/>
    </xf>
    <xf numFmtId="0" fontId="5" fillId="6" borderId="17" xfId="6" applyNumberFormat="1" applyFont="1" applyFill="1" applyBorder="1" applyAlignment="1">
      <alignment horizontal="center"/>
    </xf>
    <xf numFmtId="0" fontId="0" fillId="7" borderId="15" xfId="6" applyNumberFormat="1" applyFont="1" applyFill="1" applyBorder="1" applyAlignment="1">
      <alignment horizontal="center"/>
    </xf>
    <xf numFmtId="0" fontId="0" fillId="7" borderId="16" xfId="6" applyNumberFormat="1" applyFont="1" applyFill="1" applyBorder="1" applyAlignment="1">
      <alignment horizontal="center"/>
    </xf>
    <xf numFmtId="0" fontId="5" fillId="6" borderId="15" xfId="6" applyNumberFormat="1" applyFont="1" applyFill="1" applyBorder="1" applyAlignment="1">
      <alignment horizontal="center"/>
    </xf>
    <xf numFmtId="0" fontId="5" fillId="6" borderId="16" xfId="6" applyNumberFormat="1" applyFont="1" applyFill="1" applyBorder="1" applyAlignment="1">
      <alignment horizontal="center"/>
    </xf>
    <xf numFmtId="0" fontId="5" fillId="0" borderId="16" xfId="0" applyFont="1" applyBorder="1" applyAlignment="1">
      <alignment horizontal="center"/>
    </xf>
    <xf numFmtId="169" fontId="0" fillId="0" borderId="15" xfId="6" applyNumberFormat="1" applyFont="1" applyFill="1" applyBorder="1" applyAlignment="1">
      <alignment horizontal="center"/>
    </xf>
    <xf numFmtId="169" fontId="0" fillId="0" borderId="16" xfId="6" applyNumberFormat="1" applyFont="1" applyFill="1" applyBorder="1" applyAlignment="1">
      <alignment horizontal="center"/>
    </xf>
    <xf numFmtId="168" fontId="0" fillId="0" borderId="51" xfId="7" applyNumberFormat="1" applyFont="1" applyBorder="1"/>
    <xf numFmtId="0" fontId="0" fillId="7" borderId="9" xfId="6" applyNumberFormat="1" applyFont="1" applyFill="1" applyBorder="1" applyAlignment="1">
      <alignment horizontal="center"/>
    </xf>
    <xf numFmtId="0" fontId="0" fillId="7" borderId="30" xfId="6" applyNumberFormat="1" applyFont="1" applyFill="1" applyBorder="1" applyAlignment="1">
      <alignment horizontal="center"/>
    </xf>
    <xf numFmtId="0" fontId="5" fillId="0" borderId="21" xfId="0" applyFont="1" applyBorder="1" applyAlignment="1">
      <alignment horizontal="center"/>
    </xf>
    <xf numFmtId="0" fontId="5" fillId="0" borderId="51" xfId="0" applyFont="1" applyBorder="1" applyAlignment="1">
      <alignment horizontal="center"/>
    </xf>
    <xf numFmtId="0" fontId="0" fillId="7" borderId="28" xfId="6" applyNumberFormat="1" applyFont="1" applyFill="1" applyBorder="1" applyAlignment="1">
      <alignment horizontal="center"/>
    </xf>
    <xf numFmtId="0" fontId="0" fillId="7" borderId="14" xfId="6" applyNumberFormat="1" applyFont="1" applyFill="1" applyBorder="1" applyAlignment="1">
      <alignment horizontal="center"/>
    </xf>
    <xf numFmtId="0" fontId="5" fillId="6" borderId="14" xfId="6" applyNumberFormat="1" applyFont="1" applyFill="1" applyBorder="1" applyAlignment="1">
      <alignment horizontal="center"/>
    </xf>
    <xf numFmtId="0" fontId="5" fillId="0" borderId="1" xfId="0" applyFont="1" applyBorder="1"/>
    <xf numFmtId="17" fontId="5" fillId="0" borderId="14" xfId="0" applyNumberFormat="1" applyFont="1" applyBorder="1"/>
    <xf numFmtId="166" fontId="5" fillId="0" borderId="14" xfId="7" applyNumberFormat="1" applyFont="1" applyFill="1" applyBorder="1" applyAlignment="1">
      <alignment horizontal="right"/>
    </xf>
    <xf numFmtId="166" fontId="5" fillId="0" borderId="51" xfId="7" applyNumberFormat="1" applyFont="1" applyFill="1" applyBorder="1" applyAlignment="1">
      <alignment horizontal="right"/>
    </xf>
    <xf numFmtId="166" fontId="5" fillId="0" borderId="28" xfId="7" applyNumberFormat="1" applyFont="1" applyFill="1" applyBorder="1" applyAlignment="1">
      <alignment horizontal="right"/>
    </xf>
    <xf numFmtId="0" fontId="5" fillId="0" borderId="43" xfId="0" applyFont="1" applyBorder="1" applyAlignment="1">
      <alignment wrapText="1"/>
    </xf>
    <xf numFmtId="171" fontId="0" fillId="0" borderId="45" xfId="0" applyNumberFormat="1" applyFill="1" applyBorder="1"/>
    <xf numFmtId="168" fontId="6" fillId="0" borderId="45" xfId="7" applyNumberFormat="1" applyFont="1" applyFill="1" applyBorder="1"/>
    <xf numFmtId="168" fontId="6" fillId="0" borderId="47" xfId="7" applyNumberFormat="1" applyFont="1" applyFill="1" applyBorder="1"/>
    <xf numFmtId="168" fontId="5" fillId="0" borderId="48" xfId="7" applyNumberFormat="1" applyFont="1" applyFill="1" applyBorder="1"/>
    <xf numFmtId="168" fontId="5" fillId="0" borderId="45" xfId="7" applyNumberFormat="1" applyFont="1" applyFill="1" applyBorder="1"/>
    <xf numFmtId="168" fontId="5" fillId="0" borderId="47" xfId="7" applyNumberFormat="1" applyFont="1" applyFill="1" applyBorder="1"/>
    <xf numFmtId="168" fontId="0" fillId="0" borderId="16" xfId="0" applyNumberFormat="1" applyFont="1" applyBorder="1" applyAlignment="1">
      <alignment horizontal="left"/>
    </xf>
    <xf numFmtId="168" fontId="0" fillId="0" borderId="16" xfId="0" applyNumberFormat="1" applyFont="1" applyBorder="1"/>
    <xf numFmtId="168" fontId="0" fillId="0" borderId="10" xfId="0" applyNumberFormat="1" applyFont="1" applyBorder="1" applyAlignment="1">
      <alignment horizontal="left"/>
    </xf>
    <xf numFmtId="168" fontId="0" fillId="0" borderId="29" xfId="0" applyNumberFormat="1" applyFont="1" applyBorder="1" applyAlignment="1">
      <alignment horizontal="left"/>
    </xf>
    <xf numFmtId="168" fontId="0" fillId="0" borderId="13" xfId="0" applyNumberFormat="1" applyFont="1" applyBorder="1" applyAlignment="1">
      <alignment horizontal="left"/>
    </xf>
    <xf numFmtId="168" fontId="0" fillId="0" borderId="13" xfId="0" applyNumberFormat="1" applyFont="1" applyBorder="1" applyAlignment="1">
      <alignment horizontal="right"/>
    </xf>
    <xf numFmtId="0" fontId="0" fillId="0" borderId="48" xfId="0" applyFont="1" applyBorder="1" applyAlignment="1">
      <alignment horizontal="left" vertical="center"/>
    </xf>
    <xf numFmtId="0" fontId="0" fillId="0" borderId="45" xfId="0" applyFont="1" applyBorder="1" applyAlignment="1">
      <alignment horizontal="left" vertical="center"/>
    </xf>
    <xf numFmtId="0" fontId="0" fillId="0" borderId="45" xfId="0" applyBorder="1" applyAlignment="1">
      <alignment horizontal="left"/>
    </xf>
    <xf numFmtId="0" fontId="0" fillId="0" borderId="45" xfId="0" applyBorder="1"/>
    <xf numFmtId="0" fontId="0" fillId="0" borderId="53" xfId="0" applyBorder="1"/>
    <xf numFmtId="168" fontId="0" fillId="0" borderId="27" xfId="0" applyNumberFormat="1" applyFont="1" applyBorder="1" applyAlignment="1">
      <alignment horizontal="right"/>
    </xf>
    <xf numFmtId="168" fontId="0" fillId="0" borderId="38" xfId="0" applyNumberFormat="1" applyFont="1" applyBorder="1" applyAlignment="1">
      <alignment horizontal="right"/>
    </xf>
    <xf numFmtId="0" fontId="5" fillId="3" borderId="45" xfId="0" applyFont="1" applyFill="1" applyBorder="1"/>
    <xf numFmtId="168" fontId="5" fillId="3" borderId="13" xfId="0" applyNumberFormat="1" applyFont="1" applyFill="1" applyBorder="1" applyAlignment="1">
      <alignment horizontal="left"/>
    </xf>
    <xf numFmtId="168" fontId="5" fillId="3" borderId="16" xfId="0" applyNumberFormat="1" applyFont="1" applyFill="1" applyBorder="1" applyAlignment="1">
      <alignment horizontal="left"/>
    </xf>
    <xf numFmtId="0" fontId="5" fillId="3" borderId="49" xfId="0" applyFont="1" applyFill="1" applyBorder="1"/>
    <xf numFmtId="2" fontId="5" fillId="3" borderId="42" xfId="0" applyNumberFormat="1" applyFont="1" applyFill="1" applyBorder="1" applyAlignment="1">
      <alignment horizontal="center"/>
    </xf>
    <xf numFmtId="2" fontId="5" fillId="3" borderId="36" xfId="0" applyNumberFormat="1" applyFont="1" applyFill="1" applyBorder="1" applyAlignment="1">
      <alignment horizontal="center"/>
    </xf>
    <xf numFmtId="0" fontId="11" fillId="0" borderId="0" xfId="0" applyFont="1" applyAlignment="1">
      <alignment wrapText="1"/>
    </xf>
    <xf numFmtId="0" fontId="0" fillId="5" borderId="0" xfId="0" applyFill="1" applyBorder="1" applyAlignment="1"/>
    <xf numFmtId="0" fontId="0" fillId="5" borderId="0" xfId="0" applyFill="1" applyBorder="1"/>
    <xf numFmtId="168" fontId="0" fillId="5" borderId="0" xfId="0" applyNumberFormat="1" applyFont="1" applyFill="1" applyBorder="1" applyAlignment="1">
      <alignment horizontal="left"/>
    </xf>
    <xf numFmtId="168" fontId="0" fillId="5" borderId="0" xfId="0" applyNumberFormat="1" applyFont="1" applyFill="1" applyBorder="1" applyAlignment="1">
      <alignment horizontal="right"/>
    </xf>
    <xf numFmtId="168" fontId="0" fillId="5" borderId="0" xfId="0" applyNumberFormat="1" applyFont="1" applyFill="1" applyBorder="1"/>
    <xf numFmtId="168" fontId="5" fillId="5" borderId="0" xfId="0" applyNumberFormat="1" applyFont="1" applyFill="1" applyBorder="1" applyAlignment="1">
      <alignment horizontal="left"/>
    </xf>
    <xf numFmtId="2" fontId="5" fillId="5" borderId="0" xfId="0" applyNumberFormat="1" applyFont="1" applyFill="1" applyBorder="1" applyAlignment="1">
      <alignment horizontal="center"/>
    </xf>
    <xf numFmtId="0" fontId="5" fillId="5" borderId="0" xfId="0" applyFont="1" applyFill="1" applyBorder="1" applyAlignment="1">
      <alignment horizontal="center"/>
    </xf>
    <xf numFmtId="0" fontId="5" fillId="5" borderId="0" xfId="0" applyFont="1" applyFill="1" applyBorder="1"/>
    <xf numFmtId="0" fontId="0" fillId="5" borderId="0" xfId="0" applyFont="1" applyFill="1" applyBorder="1" applyAlignment="1">
      <alignment horizontal="left" vertical="center"/>
    </xf>
    <xf numFmtId="0" fontId="0" fillId="5" borderId="0" xfId="0" applyFill="1" applyBorder="1" applyAlignment="1">
      <alignment horizontal="left"/>
    </xf>
    <xf numFmtId="0" fontId="0" fillId="0" borderId="0" xfId="0" applyAlignment="1"/>
    <xf numFmtId="44" fontId="0" fillId="0" borderId="17" xfId="7" applyFont="1" applyBorder="1"/>
    <xf numFmtId="0" fontId="5" fillId="0" borderId="1" xfId="0" applyFont="1" applyBorder="1" applyAlignment="1">
      <alignment horizontal="right"/>
    </xf>
    <xf numFmtId="171" fontId="0" fillId="0" borderId="14" xfId="0" applyNumberFormat="1" applyFill="1" applyBorder="1" applyAlignment="1">
      <alignment horizontal="right"/>
    </xf>
    <xf numFmtId="166" fontId="6" fillId="0" borderId="14" xfId="7" applyNumberFormat="1" applyFont="1" applyFill="1" applyBorder="1" applyAlignment="1">
      <alignment horizontal="right"/>
    </xf>
    <xf numFmtId="166" fontId="10" fillId="0" borderId="51" xfId="7" applyNumberFormat="1" applyFont="1" applyFill="1" applyBorder="1" applyAlignment="1">
      <alignment horizontal="right" vertical="center" wrapText="1"/>
    </xf>
    <xf numFmtId="168" fontId="0" fillId="0" borderId="28" xfId="7" applyNumberFormat="1" applyFont="1" applyBorder="1"/>
    <xf numFmtId="44" fontId="10" fillId="3" borderId="17" xfId="10" applyNumberFormat="1" applyFont="1" applyFill="1" applyBorder="1" applyAlignment="1">
      <alignment horizontal="center"/>
    </xf>
    <xf numFmtId="168" fontId="10" fillId="13" borderId="17" xfId="7" applyNumberFormat="1" applyFont="1" applyFill="1" applyBorder="1" applyAlignment="1">
      <alignment horizontal="center"/>
    </xf>
    <xf numFmtId="0" fontId="10" fillId="13" borderId="17" xfId="9" applyFont="1" applyFill="1" applyBorder="1" applyAlignment="1">
      <alignment horizontal="left"/>
    </xf>
    <xf numFmtId="168" fontId="23" fillId="4" borderId="17" xfId="0" applyNumberFormat="1" applyFont="1" applyFill="1" applyBorder="1"/>
    <xf numFmtId="168" fontId="23" fillId="4" borderId="30" xfId="0" applyNumberFormat="1" applyFont="1" applyFill="1" applyBorder="1"/>
    <xf numFmtId="168" fontId="10" fillId="3" borderId="20" xfId="10" applyNumberFormat="1" applyFont="1" applyFill="1" applyBorder="1" applyAlignment="1">
      <alignment horizontal="center"/>
    </xf>
    <xf numFmtId="168" fontId="23" fillId="4" borderId="20" xfId="0" applyNumberFormat="1" applyFont="1" applyFill="1" applyBorder="1"/>
    <xf numFmtId="44" fontId="10" fillId="3" borderId="20" xfId="10" applyNumberFormat="1" applyFont="1" applyFill="1" applyBorder="1" applyAlignment="1">
      <alignment horizontal="center"/>
    </xf>
    <xf numFmtId="44" fontId="10" fillId="3" borderId="30" xfId="10" applyNumberFormat="1" applyFont="1" applyFill="1" applyBorder="1" applyAlignment="1">
      <alignment horizontal="center"/>
    </xf>
    <xf numFmtId="168" fontId="19" fillId="4" borderId="16" xfId="0" applyNumberFormat="1" applyFont="1" applyFill="1" applyBorder="1"/>
    <xf numFmtId="168" fontId="19" fillId="4" borderId="19" xfId="0" applyNumberFormat="1" applyFont="1" applyFill="1" applyBorder="1"/>
    <xf numFmtId="168" fontId="18" fillId="3" borderId="16" xfId="10" applyNumberFormat="1" applyFont="1" applyFill="1" applyBorder="1" applyAlignment="1">
      <alignment horizontal="center"/>
    </xf>
    <xf numFmtId="168" fontId="18" fillId="3" borderId="19" xfId="10" applyNumberFormat="1" applyFont="1" applyFill="1" applyBorder="1" applyAlignment="1">
      <alignment horizontal="center"/>
    </xf>
    <xf numFmtId="0" fontId="10" fillId="2" borderId="17" xfId="9" applyFont="1" applyFill="1" applyBorder="1" applyAlignment="1">
      <alignment horizontal="left"/>
    </xf>
    <xf numFmtId="168" fontId="10" fillId="2" borderId="17" xfId="7" applyNumberFormat="1" applyFont="1" applyFill="1" applyBorder="1" applyAlignment="1">
      <alignment horizontal="center"/>
    </xf>
    <xf numFmtId="168" fontId="10" fillId="2" borderId="14" xfId="7" applyNumberFormat="1" applyFont="1" applyFill="1" applyBorder="1" applyAlignment="1">
      <alignment horizontal="center"/>
    </xf>
    <xf numFmtId="168" fontId="10" fillId="13" borderId="14" xfId="7" applyNumberFormat="1" applyFont="1" applyFill="1" applyBorder="1" applyAlignment="1">
      <alignment horizontal="center"/>
    </xf>
    <xf numFmtId="168" fontId="10" fillId="3" borderId="24" xfId="7" applyNumberFormat="1" applyFont="1" applyFill="1" applyBorder="1" applyAlignment="1"/>
    <xf numFmtId="0" fontId="10" fillId="2" borderId="8" xfId="9" applyFont="1" applyFill="1" applyBorder="1" applyAlignment="1">
      <alignment horizontal="left"/>
    </xf>
    <xf numFmtId="168" fontId="10" fillId="2" borderId="8" xfId="7" applyNumberFormat="1" applyFont="1" applyFill="1" applyBorder="1" applyAlignment="1">
      <alignment horizontal="center"/>
    </xf>
    <xf numFmtId="0" fontId="10" fillId="3" borderId="24" xfId="9" applyFont="1" applyFill="1" applyBorder="1" applyAlignment="1"/>
    <xf numFmtId="0" fontId="10" fillId="13" borderId="30" xfId="9" applyFont="1" applyFill="1" applyBorder="1" applyAlignment="1">
      <alignment horizontal="left" wrapText="1"/>
    </xf>
    <xf numFmtId="168" fontId="10" fillId="3" borderId="15" xfId="10" applyNumberFormat="1" applyFont="1" applyFill="1" applyBorder="1" applyAlignment="1"/>
    <xf numFmtId="168" fontId="10" fillId="3" borderId="18" xfId="10" applyNumberFormat="1" applyFont="1" applyFill="1" applyBorder="1" applyAlignment="1"/>
    <xf numFmtId="168" fontId="19" fillId="4" borderId="10" xfId="0" applyNumberFormat="1" applyFont="1" applyFill="1" applyBorder="1"/>
    <xf numFmtId="168" fontId="10" fillId="2" borderId="1" xfId="7" applyNumberFormat="1" applyFont="1" applyFill="1" applyBorder="1" applyAlignment="1">
      <alignment horizontal="center"/>
    </xf>
    <xf numFmtId="168" fontId="10" fillId="3" borderId="9" xfId="10" applyNumberFormat="1" applyFont="1" applyFill="1" applyBorder="1" applyAlignment="1"/>
    <xf numFmtId="168" fontId="18" fillId="3" borderId="10" xfId="10" applyNumberFormat="1" applyFont="1" applyFill="1" applyBorder="1" applyAlignment="1">
      <alignment horizontal="center"/>
    </xf>
    <xf numFmtId="0" fontId="25" fillId="0" borderId="0" xfId="0" applyFont="1"/>
    <xf numFmtId="168" fontId="25" fillId="0" borderId="0" xfId="0" applyNumberFormat="1" applyFont="1"/>
    <xf numFmtId="168" fontId="10" fillId="3" borderId="4" xfId="7" applyNumberFormat="1" applyFont="1" applyFill="1" applyBorder="1" applyAlignment="1"/>
    <xf numFmtId="168" fontId="23" fillId="4" borderId="13" xfId="0" applyNumberFormat="1" applyFont="1" applyFill="1" applyBorder="1"/>
    <xf numFmtId="168" fontId="23" fillId="4" borderId="21" xfId="0" applyNumberFormat="1" applyFont="1" applyFill="1" applyBorder="1"/>
    <xf numFmtId="168" fontId="23" fillId="4" borderId="29" xfId="0" applyNumberFormat="1" applyFont="1" applyFill="1" applyBorder="1"/>
    <xf numFmtId="0" fontId="0" fillId="0" borderId="0" xfId="0"/>
    <xf numFmtId="0" fontId="5" fillId="0" borderId="0" xfId="0" applyFont="1"/>
    <xf numFmtId="0" fontId="11" fillId="0" borderId="0" xfId="0" applyFont="1"/>
    <xf numFmtId="0" fontId="5" fillId="0" borderId="0" xfId="0" applyFont="1" applyAlignment="1">
      <alignment wrapText="1"/>
    </xf>
    <xf numFmtId="0" fontId="5" fillId="2" borderId="0" xfId="0" applyFont="1" applyFill="1" applyAlignment="1">
      <alignment horizontal="center"/>
    </xf>
    <xf numFmtId="0" fontId="5" fillId="2" borderId="0" xfId="0" applyFont="1" applyFill="1" applyAlignment="1">
      <alignment horizontal="center" wrapText="1"/>
    </xf>
    <xf numFmtId="0" fontId="21" fillId="4" borderId="24" xfId="10" applyFont="1" applyFill="1" applyBorder="1" applyAlignment="1">
      <alignment horizontal="center" wrapText="1"/>
    </xf>
    <xf numFmtId="0" fontId="15" fillId="4" borderId="24" xfId="10" applyFont="1" applyFill="1" applyBorder="1" applyAlignment="1">
      <alignment horizontal="center" wrapText="1"/>
    </xf>
    <xf numFmtId="0" fontId="18" fillId="13" borderId="4" xfId="9" applyFont="1" applyFill="1" applyBorder="1" applyAlignment="1">
      <alignment horizontal="center" wrapText="1"/>
    </xf>
    <xf numFmtId="0" fontId="15" fillId="4" borderId="27" xfId="10" quotePrefix="1" applyFont="1" applyFill="1" applyBorder="1" applyAlignment="1">
      <alignment horizontal="center" wrapText="1"/>
    </xf>
    <xf numFmtId="0" fontId="28" fillId="0" borderId="0" xfId="0" applyFont="1"/>
    <xf numFmtId="0" fontId="20" fillId="0" borderId="0" xfId="0" applyFont="1"/>
    <xf numFmtId="0" fontId="27" fillId="0" borderId="0" xfId="0" applyFont="1"/>
    <xf numFmtId="8" fontId="20" fillId="0" borderId="0" xfId="0" applyNumberFormat="1" applyFont="1"/>
    <xf numFmtId="9" fontId="0" fillId="0" borderId="0" xfId="0" applyNumberFormat="1"/>
    <xf numFmtId="0" fontId="26" fillId="0" borderId="0" xfId="0" applyFont="1"/>
    <xf numFmtId="9" fontId="20" fillId="0" borderId="0" xfId="0" applyNumberFormat="1" applyFont="1"/>
    <xf numFmtId="0" fontId="0" fillId="0" borderId="0" xfId="0"/>
    <xf numFmtId="0" fontId="18" fillId="3" borderId="24" xfId="10" applyFont="1" applyFill="1" applyBorder="1" applyAlignment="1">
      <alignment horizontal="center"/>
    </xf>
    <xf numFmtId="0" fontId="5" fillId="0" borderId="24" xfId="0" applyFont="1" applyBorder="1" applyAlignment="1">
      <alignment wrapText="1"/>
    </xf>
    <xf numFmtId="0" fontId="21" fillId="4" borderId="24" xfId="10" applyFont="1" applyFill="1" applyBorder="1" applyAlignment="1">
      <alignment horizontal="center"/>
    </xf>
    <xf numFmtId="0" fontId="5" fillId="0" borderId="24" xfId="0" applyFont="1" applyBorder="1" applyAlignment="1">
      <alignment horizontal="center" wrapText="1"/>
    </xf>
    <xf numFmtId="0" fontId="18" fillId="0" borderId="24" xfId="10" applyFont="1" applyFill="1" applyBorder="1" applyAlignment="1">
      <alignment horizontal="center"/>
    </xf>
    <xf numFmtId="0" fontId="5" fillId="0" borderId="17" xfId="0" applyFont="1" applyBorder="1" applyAlignment="1">
      <alignment wrapText="1"/>
    </xf>
    <xf numFmtId="0" fontId="18" fillId="0" borderId="24" xfId="10" applyFont="1" applyFill="1" applyBorder="1" applyAlignment="1">
      <alignment horizontal="center" wrapText="1"/>
    </xf>
    <xf numFmtId="0" fontId="18" fillId="13" borderId="4" xfId="9" applyFont="1" applyFill="1" applyBorder="1" applyAlignment="1">
      <alignment horizontal="center"/>
    </xf>
    <xf numFmtId="0" fontId="11" fillId="0" borderId="0" xfId="0" applyFont="1" applyAlignment="1">
      <alignment horizontal="center" wrapText="1"/>
    </xf>
    <xf numFmtId="0" fontId="18" fillId="13" borderId="4" xfId="9" applyFont="1" applyFill="1" applyBorder="1" applyAlignment="1">
      <alignment horizontal="center" wrapText="1"/>
    </xf>
    <xf numFmtId="0" fontId="21" fillId="4" borderId="27" xfId="10" applyFont="1" applyFill="1" applyBorder="1" applyAlignment="1">
      <alignment horizontal="center"/>
    </xf>
    <xf numFmtId="0" fontId="18" fillId="3" borderId="5" xfId="10" applyFont="1" applyFill="1" applyBorder="1" applyAlignment="1">
      <alignment horizontal="center"/>
    </xf>
    <xf numFmtId="0" fontId="18" fillId="3" borderId="38" xfId="10" applyFont="1" applyFill="1" applyBorder="1" applyAlignment="1">
      <alignment horizontal="center" wrapText="1"/>
    </xf>
    <xf numFmtId="6" fontId="20" fillId="0" borderId="0" xfId="0" applyNumberFormat="1" applyFont="1"/>
    <xf numFmtId="0" fontId="20" fillId="2" borderId="0" xfId="0" applyFont="1" applyFill="1"/>
    <xf numFmtId="0" fontId="0" fillId="0" borderId="15" xfId="6" applyNumberFormat="1" applyFont="1" applyFill="1" applyBorder="1" applyAlignment="1">
      <alignment horizontal="center"/>
    </xf>
    <xf numFmtId="0" fontId="0" fillId="0" borderId="17" xfId="6" applyNumberFormat="1" applyFont="1" applyFill="1" applyBorder="1" applyAlignment="1">
      <alignment horizontal="center"/>
    </xf>
    <xf numFmtId="0" fontId="0" fillId="0" borderId="16" xfId="6" applyNumberFormat="1" applyFont="1" applyFill="1" applyBorder="1" applyAlignment="1">
      <alignment horizontal="center"/>
    </xf>
    <xf numFmtId="169" fontId="0" fillId="0" borderId="13" xfId="6" applyNumberFormat="1" applyFont="1" applyFill="1" applyBorder="1" applyAlignment="1">
      <alignment horizontal="center"/>
    </xf>
    <xf numFmtId="169" fontId="0" fillId="0" borderId="14" xfId="6" applyNumberFormat="1" applyFont="1" applyFill="1" applyBorder="1" applyAlignment="1">
      <alignment horizontal="center"/>
    </xf>
    <xf numFmtId="0" fontId="6" fillId="0" borderId="15" xfId="6" applyNumberFormat="1" applyFont="1" applyFill="1" applyBorder="1" applyAlignment="1">
      <alignment horizontal="center"/>
    </xf>
    <xf numFmtId="0" fontId="6" fillId="0" borderId="17" xfId="6" applyNumberFormat="1" applyFont="1" applyFill="1" applyBorder="1" applyAlignment="1">
      <alignment horizontal="center"/>
    </xf>
    <xf numFmtId="0" fontId="6" fillId="0" borderId="16" xfId="6" applyNumberFormat="1" applyFont="1" applyFill="1" applyBorder="1" applyAlignment="1">
      <alignment horizontal="center"/>
    </xf>
    <xf numFmtId="0" fontId="0" fillId="0" borderId="18" xfId="6" applyNumberFormat="1" applyFont="1" applyFill="1" applyBorder="1" applyAlignment="1">
      <alignment horizontal="center"/>
    </xf>
    <xf numFmtId="0" fontId="0" fillId="0" borderId="20" xfId="6" applyNumberFormat="1" applyFont="1" applyFill="1" applyBorder="1" applyAlignment="1">
      <alignment horizontal="center"/>
    </xf>
    <xf numFmtId="0" fontId="0" fillId="0" borderId="19" xfId="6" applyNumberFormat="1" applyFont="1" applyFill="1" applyBorder="1" applyAlignment="1">
      <alignment horizontal="center"/>
    </xf>
    <xf numFmtId="169" fontId="0" fillId="0" borderId="18" xfId="6" applyNumberFormat="1" applyFont="1" applyFill="1" applyBorder="1" applyAlignment="1">
      <alignment horizontal="center"/>
    </xf>
    <xf numFmtId="169" fontId="0" fillId="0" borderId="19" xfId="6" applyNumberFormat="1" applyFont="1" applyFill="1" applyBorder="1" applyAlignment="1">
      <alignment horizontal="center"/>
    </xf>
    <xf numFmtId="169" fontId="0" fillId="0" borderId="21" xfId="6" applyNumberFormat="1" applyFont="1" applyFill="1" applyBorder="1" applyAlignment="1">
      <alignment horizontal="center"/>
    </xf>
    <xf numFmtId="169" fontId="0" fillId="0" borderId="51" xfId="6" applyNumberFormat="1" applyFont="1" applyFill="1" applyBorder="1" applyAlignment="1">
      <alignment horizontal="center"/>
    </xf>
    <xf numFmtId="0" fontId="4" fillId="0" borderId="6" xfId="14" applyBorder="1"/>
    <xf numFmtId="0" fontId="4" fillId="0" borderId="0" xfId="14"/>
    <xf numFmtId="0" fontId="4" fillId="0" borderId="18" xfId="14" applyBorder="1"/>
    <xf numFmtId="0" fontId="29" fillId="0" borderId="20" xfId="14" applyFont="1" applyBorder="1" applyAlignment="1">
      <alignment horizontal="center"/>
    </xf>
    <xf numFmtId="0" fontId="29" fillId="0" borderId="19" xfId="14" applyFont="1" applyBorder="1" applyAlignment="1">
      <alignment horizontal="center"/>
    </xf>
    <xf numFmtId="0" fontId="29" fillId="14" borderId="31" xfId="14" applyFont="1" applyFill="1" applyBorder="1"/>
    <xf numFmtId="0" fontId="4" fillId="14" borderId="31" xfId="14" applyFill="1" applyBorder="1" applyAlignment="1">
      <alignment horizontal="center"/>
    </xf>
    <xf numFmtId="0" fontId="4" fillId="14" borderId="55" xfId="14" applyFill="1" applyBorder="1" applyAlignment="1">
      <alignment horizontal="center"/>
    </xf>
    <xf numFmtId="0" fontId="4" fillId="14" borderId="32" xfId="14" applyFill="1" applyBorder="1" applyAlignment="1">
      <alignment horizontal="center"/>
    </xf>
    <xf numFmtId="0" fontId="4" fillId="0" borderId="3" xfId="14" applyBorder="1"/>
    <xf numFmtId="3" fontId="4" fillId="0" borderId="6" xfId="14" applyNumberFormat="1" applyBorder="1" applyAlignment="1">
      <alignment horizontal="center"/>
    </xf>
    <xf numFmtId="3" fontId="4" fillId="0" borderId="8" xfId="14" applyNumberFormat="1" applyBorder="1" applyAlignment="1">
      <alignment horizontal="center"/>
    </xf>
    <xf numFmtId="3" fontId="4" fillId="0" borderId="7" xfId="14" applyNumberFormat="1" applyBorder="1" applyAlignment="1">
      <alignment horizontal="center"/>
    </xf>
    <xf numFmtId="0" fontId="4" fillId="0" borderId="46" xfId="14" applyBorder="1"/>
    <xf numFmtId="3" fontId="4" fillId="0" borderId="5" xfId="14" applyNumberFormat="1" applyBorder="1" applyAlignment="1">
      <alignment horizontal="center"/>
    </xf>
    <xf numFmtId="3" fontId="4" fillId="0" borderId="24" xfId="14" applyNumberFormat="1" applyBorder="1" applyAlignment="1">
      <alignment horizontal="center"/>
    </xf>
    <xf numFmtId="3" fontId="4" fillId="0" borderId="38" xfId="14" applyNumberFormat="1" applyBorder="1" applyAlignment="1">
      <alignment horizontal="center"/>
    </xf>
    <xf numFmtId="0" fontId="4" fillId="0" borderId="56" xfId="14" applyBorder="1"/>
    <xf numFmtId="3" fontId="4" fillId="0" borderId="57" xfId="14" applyNumberFormat="1" applyBorder="1" applyAlignment="1">
      <alignment horizontal="center"/>
    </xf>
    <xf numFmtId="3" fontId="4" fillId="0" borderId="58" xfId="14" applyNumberFormat="1" applyBorder="1" applyAlignment="1">
      <alignment horizontal="center"/>
    </xf>
    <xf numFmtId="3" fontId="4" fillId="0" borderId="59" xfId="14" applyNumberFormat="1" applyBorder="1" applyAlignment="1">
      <alignment horizontal="center"/>
    </xf>
    <xf numFmtId="0" fontId="4" fillId="3" borderId="25" xfId="14" applyFill="1" applyBorder="1"/>
    <xf numFmtId="0" fontId="4" fillId="3" borderId="25" xfId="14" applyFill="1" applyBorder="1" applyAlignment="1">
      <alignment horizontal="center"/>
    </xf>
    <xf numFmtId="0" fontId="4" fillId="3" borderId="0" xfId="14" applyFill="1" applyAlignment="1">
      <alignment horizontal="center"/>
    </xf>
    <xf numFmtId="0" fontId="4" fillId="3" borderId="26" xfId="14" applyFill="1" applyBorder="1" applyAlignment="1">
      <alignment horizontal="center"/>
    </xf>
    <xf numFmtId="0" fontId="4" fillId="0" borderId="11" xfId="14" applyBorder="1"/>
    <xf numFmtId="3" fontId="4" fillId="0" borderId="15" xfId="14" applyNumberFormat="1" applyBorder="1" applyAlignment="1">
      <alignment horizontal="center"/>
    </xf>
    <xf numFmtId="3" fontId="4" fillId="0" borderId="17" xfId="14" applyNumberFormat="1" applyBorder="1" applyAlignment="1">
      <alignment horizontal="center"/>
    </xf>
    <xf numFmtId="3" fontId="4" fillId="0" borderId="16" xfId="14" applyNumberFormat="1" applyBorder="1" applyAlignment="1">
      <alignment horizontal="center"/>
    </xf>
    <xf numFmtId="0" fontId="4" fillId="0" borderId="0" xfId="14" applyAlignment="1">
      <alignment horizontal="center"/>
    </xf>
    <xf numFmtId="0" fontId="0" fillId="7" borderId="9" xfId="0" applyFont="1" applyFill="1" applyBorder="1" applyAlignment="1">
      <alignment horizontal="center" wrapText="1"/>
    </xf>
    <xf numFmtId="0" fontId="0" fillId="7" borderId="30" xfId="0" applyFont="1" applyFill="1" applyBorder="1" applyAlignment="1">
      <alignment horizontal="center" wrapText="1"/>
    </xf>
    <xf numFmtId="3" fontId="0" fillId="7" borderId="29" xfId="0" applyNumberFormat="1" applyFont="1" applyFill="1" applyBorder="1" applyAlignment="1">
      <alignment horizontal="center"/>
    </xf>
    <xf numFmtId="3" fontId="5" fillId="7" borderId="7" xfId="0" applyNumberFormat="1" applyFont="1" applyFill="1" applyBorder="1" applyAlignment="1">
      <alignment horizontal="center"/>
    </xf>
    <xf numFmtId="3" fontId="5" fillId="7" borderId="1" xfId="0" applyNumberFormat="1" applyFont="1" applyFill="1" applyBorder="1" applyAlignment="1">
      <alignment horizontal="center"/>
    </xf>
    <xf numFmtId="3" fontId="0" fillId="7" borderId="9" xfId="0" applyNumberFormat="1" applyFont="1" applyFill="1" applyBorder="1" applyAlignment="1">
      <alignment horizontal="center"/>
    </xf>
    <xf numFmtId="3" fontId="5" fillId="7" borderId="10" xfId="0" applyNumberFormat="1" applyFont="1" applyFill="1" applyBorder="1" applyAlignment="1">
      <alignment horizontal="center"/>
    </xf>
    <xf numFmtId="3" fontId="5" fillId="7" borderId="28" xfId="0" applyNumberFormat="1" applyFont="1" applyFill="1" applyBorder="1" applyAlignment="1">
      <alignment horizontal="center"/>
    </xf>
    <xf numFmtId="3" fontId="0" fillId="7" borderId="10" xfId="6" applyNumberFormat="1" applyFont="1" applyFill="1" applyBorder="1" applyAlignment="1">
      <alignment horizontal="center"/>
    </xf>
    <xf numFmtId="3" fontId="0" fillId="7" borderId="28" xfId="6" applyNumberFormat="1" applyFont="1" applyFill="1" applyBorder="1" applyAlignment="1">
      <alignment horizontal="center"/>
    </xf>
    <xf numFmtId="3" fontId="0" fillId="7" borderId="16" xfId="6" applyNumberFormat="1" applyFont="1" applyFill="1" applyBorder="1" applyAlignment="1">
      <alignment horizontal="center"/>
    </xf>
    <xf numFmtId="3" fontId="0" fillId="7" borderId="14" xfId="6" applyNumberFormat="1" applyFont="1" applyFill="1" applyBorder="1" applyAlignment="1">
      <alignment horizontal="center"/>
    </xf>
    <xf numFmtId="3" fontId="5" fillId="6" borderId="15" xfId="6" applyNumberFormat="1" applyFont="1" applyFill="1" applyBorder="1" applyAlignment="1">
      <alignment horizontal="center"/>
    </xf>
    <xf numFmtId="3" fontId="5" fillId="6" borderId="16" xfId="6" applyNumberFormat="1" applyFont="1" applyFill="1" applyBorder="1" applyAlignment="1">
      <alignment horizontal="center"/>
    </xf>
    <xf numFmtId="3" fontId="0" fillId="0" borderId="15" xfId="6" applyNumberFormat="1" applyFont="1" applyFill="1" applyBorder="1" applyAlignment="1">
      <alignment horizontal="center"/>
    </xf>
    <xf numFmtId="3" fontId="0" fillId="0" borderId="16" xfId="6" applyNumberFormat="1" applyFont="1" applyFill="1" applyBorder="1" applyAlignment="1">
      <alignment horizontal="center"/>
    </xf>
    <xf numFmtId="3" fontId="0" fillId="0" borderId="13" xfId="6" applyNumberFormat="1" applyFont="1" applyFill="1" applyBorder="1" applyAlignment="1">
      <alignment horizontal="center"/>
    </xf>
    <xf numFmtId="3" fontId="6" fillId="0" borderId="16" xfId="6" applyNumberFormat="1" applyFont="1" applyFill="1" applyBorder="1" applyAlignment="1">
      <alignment horizontal="center"/>
    </xf>
    <xf numFmtId="3" fontId="6" fillId="0" borderId="14" xfId="6" applyNumberFormat="1" applyFont="1" applyFill="1" applyBorder="1" applyAlignment="1">
      <alignment horizontal="center"/>
    </xf>
    <xf numFmtId="0" fontId="5" fillId="0" borderId="15" xfId="6" applyNumberFormat="1" applyFont="1" applyFill="1" applyBorder="1" applyAlignment="1">
      <alignment horizontal="center"/>
    </xf>
    <xf numFmtId="0" fontId="9" fillId="0" borderId="0" xfId="5"/>
    <xf numFmtId="3" fontId="5" fillId="0" borderId="15" xfId="6" applyNumberFormat="1" applyFont="1" applyFill="1" applyBorder="1" applyAlignment="1">
      <alignment horizontal="center"/>
    </xf>
    <xf numFmtId="3" fontId="0" fillId="6" borderId="15" xfId="6" applyNumberFormat="1" applyFont="1" applyFill="1" applyBorder="1" applyAlignment="1">
      <alignment horizontal="center"/>
    </xf>
    <xf numFmtId="0" fontId="9" fillId="0" borderId="0" xfId="5"/>
    <xf numFmtId="0" fontId="3" fillId="3" borderId="25" xfId="14" applyFont="1" applyFill="1" applyBorder="1"/>
    <xf numFmtId="3" fontId="4" fillId="0" borderId="6" xfId="14" applyNumberFormat="1" applyBorder="1" applyAlignment="1">
      <alignment horizontal="center" vertical="center"/>
    </xf>
    <xf numFmtId="3" fontId="4" fillId="0" borderId="8" xfId="14" applyNumberFormat="1" applyBorder="1" applyAlignment="1">
      <alignment horizontal="center" vertical="center"/>
    </xf>
    <xf numFmtId="3" fontId="4" fillId="0" borderId="7" xfId="14" applyNumberFormat="1" applyBorder="1" applyAlignment="1">
      <alignment horizontal="center" vertical="center"/>
    </xf>
    <xf numFmtId="3" fontId="4" fillId="0" borderId="22" xfId="14" applyNumberFormat="1" applyBorder="1" applyAlignment="1">
      <alignment horizontal="center"/>
    </xf>
    <xf numFmtId="3" fontId="4" fillId="0" borderId="23" xfId="14" applyNumberFormat="1" applyBorder="1" applyAlignment="1">
      <alignment horizontal="center"/>
    </xf>
    <xf numFmtId="3" fontId="4" fillId="0" borderId="37" xfId="14" applyNumberFormat="1" applyBorder="1" applyAlignment="1">
      <alignment horizontal="center"/>
    </xf>
    <xf numFmtId="3" fontId="3" fillId="0" borderId="17" xfId="0" applyNumberFormat="1" applyFont="1" applyBorder="1" applyAlignment="1">
      <alignment horizontal="center" vertical="center"/>
    </xf>
    <xf numFmtId="0" fontId="9" fillId="0" borderId="0" xfId="5" applyAlignment="1">
      <alignment horizontal="left" vertical="center" indent="1"/>
    </xf>
    <xf numFmtId="0" fontId="3" fillId="0" borderId="0" xfId="14" applyFont="1"/>
    <xf numFmtId="0" fontId="29" fillId="0" borderId="0" xfId="14" applyFont="1"/>
    <xf numFmtId="0" fontId="4" fillId="15" borderId="0" xfId="14" applyFill="1"/>
    <xf numFmtId="0" fontId="3" fillId="0" borderId="46" xfId="14" applyFont="1" applyBorder="1"/>
    <xf numFmtId="0" fontId="20" fillId="0" borderId="0" xfId="0" applyFont="1"/>
    <xf numFmtId="0" fontId="9" fillId="0" borderId="0" xfId="5"/>
    <xf numFmtId="3" fontId="5" fillId="0" borderId="16" xfId="6" applyNumberFormat="1" applyFont="1" applyFill="1" applyBorder="1" applyAlignment="1">
      <alignment horizontal="center"/>
    </xf>
    <xf numFmtId="3" fontId="6" fillId="0" borderId="15" xfId="6" applyNumberFormat="1" applyFont="1" applyFill="1" applyBorder="1" applyAlignment="1">
      <alignment horizontal="center"/>
    </xf>
    <xf numFmtId="0" fontId="5" fillId="7" borderId="6" xfId="0" applyFont="1" applyFill="1" applyBorder="1" applyAlignment="1">
      <alignment horizontal="center" wrapText="1"/>
    </xf>
    <xf numFmtId="3" fontId="5" fillId="7" borderId="6" xfId="0" applyNumberFormat="1" applyFont="1" applyFill="1" applyBorder="1" applyAlignment="1">
      <alignment horizontal="center"/>
    </xf>
    <xf numFmtId="0" fontId="6" fillId="6" borderId="15" xfId="6" applyNumberFormat="1" applyFont="1" applyFill="1" applyBorder="1" applyAlignment="1">
      <alignment horizontal="center"/>
    </xf>
    <xf numFmtId="0" fontId="6" fillId="6" borderId="17" xfId="6" applyNumberFormat="1" applyFont="1" applyFill="1" applyBorder="1" applyAlignment="1">
      <alignment horizontal="center"/>
    </xf>
    <xf numFmtId="3" fontId="6" fillId="6" borderId="15" xfId="6" applyNumberFormat="1" applyFont="1" applyFill="1" applyBorder="1" applyAlignment="1">
      <alignment horizontal="center"/>
    </xf>
    <xf numFmtId="3" fontId="6" fillId="6" borderId="16" xfId="6" applyNumberFormat="1" applyFont="1" applyFill="1" applyBorder="1" applyAlignment="1">
      <alignment horizontal="center"/>
    </xf>
    <xf numFmtId="3" fontId="6" fillId="6" borderId="14" xfId="6" applyNumberFormat="1" applyFont="1" applyFill="1" applyBorder="1" applyAlignment="1">
      <alignment horizontal="center"/>
    </xf>
    <xf numFmtId="0" fontId="5" fillId="0" borderId="17" xfId="6" applyNumberFormat="1" applyFont="1" applyFill="1" applyBorder="1" applyAlignment="1">
      <alignment horizontal="center"/>
    </xf>
    <xf numFmtId="0" fontId="5" fillId="0" borderId="16" xfId="6" applyNumberFormat="1" applyFont="1" applyFill="1" applyBorder="1" applyAlignment="1">
      <alignment horizontal="center"/>
    </xf>
    <xf numFmtId="3" fontId="6" fillId="6" borderId="12" xfId="6" applyNumberFormat="1" applyFont="1" applyFill="1" applyBorder="1" applyAlignment="1">
      <alignment horizontal="center"/>
    </xf>
    <xf numFmtId="3" fontId="6" fillId="0" borderId="12" xfId="6" applyNumberFormat="1" applyFont="1" applyFill="1" applyBorder="1" applyAlignment="1">
      <alignment horizontal="center"/>
    </xf>
    <xf numFmtId="0" fontId="2" fillId="0" borderId="0" xfId="14" applyFont="1"/>
    <xf numFmtId="0" fontId="5" fillId="0" borderId="12" xfId="6" applyNumberFormat="1" applyFont="1" applyFill="1" applyBorder="1" applyAlignment="1">
      <alignment horizontal="center"/>
    </xf>
    <xf numFmtId="0" fontId="5" fillId="7" borderId="1" xfId="0" applyFont="1" applyFill="1" applyBorder="1" applyAlignment="1">
      <alignment horizontal="center" wrapText="1"/>
    </xf>
    <xf numFmtId="0" fontId="5" fillId="7" borderId="28" xfId="0" applyFont="1" applyFill="1" applyBorder="1" applyAlignment="1">
      <alignment horizontal="center" wrapText="1"/>
    </xf>
    <xf numFmtId="0" fontId="0" fillId="7" borderId="28" xfId="0" applyFont="1" applyFill="1" applyBorder="1" applyAlignment="1">
      <alignment horizontal="center" wrapText="1"/>
    </xf>
    <xf numFmtId="0" fontId="0" fillId="0" borderId="14" xfId="6" applyNumberFormat="1" applyFont="1" applyFill="1" applyBorder="1" applyAlignment="1">
      <alignment horizontal="center"/>
    </xf>
    <xf numFmtId="0" fontId="6" fillId="0" borderId="14" xfId="6" applyNumberFormat="1" applyFont="1" applyFill="1" applyBorder="1" applyAlignment="1">
      <alignment horizontal="center"/>
    </xf>
    <xf numFmtId="0" fontId="6" fillId="6" borderId="14" xfId="6" applyNumberFormat="1" applyFont="1" applyFill="1" applyBorder="1" applyAlignment="1">
      <alignment horizontal="center"/>
    </xf>
    <xf numFmtId="0" fontId="5" fillId="0" borderId="14" xfId="6" applyNumberFormat="1" applyFont="1" applyFill="1" applyBorder="1" applyAlignment="1">
      <alignment horizontal="center"/>
    </xf>
    <xf numFmtId="0" fontId="0" fillId="0" borderId="51" xfId="6" applyNumberFormat="1" applyFont="1" applyFill="1" applyBorder="1" applyAlignment="1">
      <alignment horizontal="center"/>
    </xf>
    <xf numFmtId="0" fontId="5" fillId="7" borderId="16" xfId="0" applyFont="1" applyFill="1" applyBorder="1" applyAlignment="1">
      <alignment horizontal="center" wrapText="1"/>
    </xf>
    <xf numFmtId="3" fontId="0" fillId="7" borderId="15" xfId="0" applyNumberFormat="1" applyFill="1" applyBorder="1"/>
    <xf numFmtId="0" fontId="0" fillId="7" borderId="16" xfId="0" applyFont="1" applyFill="1" applyBorder="1" applyAlignment="1">
      <alignment horizontal="center" wrapText="1"/>
    </xf>
    <xf numFmtId="0" fontId="0" fillId="7" borderId="39" xfId="6" applyNumberFormat="1" applyFont="1" applyFill="1" applyBorder="1" applyAlignment="1">
      <alignment horizontal="center"/>
    </xf>
    <xf numFmtId="0" fontId="0" fillId="0" borderId="39" xfId="6" applyNumberFormat="1" applyFont="1" applyFill="1" applyBorder="1" applyAlignment="1">
      <alignment horizontal="center"/>
    </xf>
    <xf numFmtId="0" fontId="6" fillId="0" borderId="39" xfId="6" applyNumberFormat="1" applyFont="1" applyFill="1" applyBorder="1" applyAlignment="1">
      <alignment horizontal="center"/>
    </xf>
    <xf numFmtId="0" fontId="6" fillId="6" borderId="39" xfId="6" applyNumberFormat="1" applyFont="1" applyFill="1" applyBorder="1" applyAlignment="1">
      <alignment horizontal="center"/>
    </xf>
    <xf numFmtId="0" fontId="0" fillId="0" borderId="60" xfId="6" applyNumberFormat="1" applyFont="1" applyFill="1" applyBorder="1" applyAlignment="1">
      <alignment horizontal="center"/>
    </xf>
    <xf numFmtId="0" fontId="0" fillId="7" borderId="12" xfId="6" applyNumberFormat="1" applyFont="1" applyFill="1" applyBorder="1" applyAlignment="1">
      <alignment horizontal="center"/>
    </xf>
    <xf numFmtId="0" fontId="5" fillId="7" borderId="40" xfId="0" applyFont="1" applyFill="1" applyBorder="1" applyAlignment="1">
      <alignment horizontal="center" wrapText="1"/>
    </xf>
    <xf numFmtId="0" fontId="5" fillId="7" borderId="61" xfId="0" applyFont="1" applyFill="1" applyBorder="1" applyAlignment="1">
      <alignment horizontal="center" wrapText="1"/>
    </xf>
    <xf numFmtId="0" fontId="0" fillId="7" borderId="61" xfId="0" applyFont="1" applyFill="1" applyBorder="1" applyAlignment="1">
      <alignment horizontal="center" wrapText="1"/>
    </xf>
    <xf numFmtId="0" fontId="0" fillId="7" borderId="61" xfId="6" applyNumberFormat="1" applyFont="1" applyFill="1" applyBorder="1" applyAlignment="1">
      <alignment horizontal="center"/>
    </xf>
    <xf numFmtId="0" fontId="5" fillId="6" borderId="61" xfId="6" applyNumberFormat="1" applyFont="1" applyFill="1" applyBorder="1" applyAlignment="1">
      <alignment horizontal="center"/>
    </xf>
    <xf numFmtId="0" fontId="5" fillId="0" borderId="61" xfId="6" applyNumberFormat="1" applyFont="1" applyFill="1" applyBorder="1" applyAlignment="1">
      <alignment horizontal="center"/>
    </xf>
    <xf numFmtId="0" fontId="5" fillId="0" borderId="52" xfId="6" applyNumberFormat="1" applyFont="1" applyFill="1" applyBorder="1" applyAlignment="1">
      <alignment horizontal="center"/>
    </xf>
    <xf numFmtId="0" fontId="5" fillId="7" borderId="14" xfId="0" applyFont="1" applyFill="1" applyBorder="1" applyAlignment="1">
      <alignment horizontal="center" wrapText="1"/>
    </xf>
    <xf numFmtId="0" fontId="0" fillId="7" borderId="14" xfId="0" applyFont="1" applyFill="1" applyBorder="1" applyAlignment="1">
      <alignment horizontal="center" wrapText="1"/>
    </xf>
    <xf numFmtId="0" fontId="5" fillId="0" borderId="18" xfId="6" applyNumberFormat="1" applyFont="1" applyFill="1" applyBorder="1" applyAlignment="1">
      <alignment horizontal="center"/>
    </xf>
    <xf numFmtId="0" fontId="5" fillId="0" borderId="19" xfId="6" applyNumberFormat="1" applyFont="1" applyFill="1" applyBorder="1" applyAlignment="1">
      <alignment horizontal="center"/>
    </xf>
    <xf numFmtId="3" fontId="5" fillId="7" borderId="16" xfId="0" applyNumberFormat="1" applyFont="1" applyFill="1" applyBorder="1" applyAlignment="1">
      <alignment horizontal="center" wrapText="1"/>
    </xf>
    <xf numFmtId="3" fontId="5" fillId="6" borderId="16" xfId="0" applyNumberFormat="1" applyFont="1" applyFill="1" applyBorder="1" applyAlignment="1">
      <alignment horizontal="center" wrapText="1"/>
    </xf>
    <xf numFmtId="3" fontId="0" fillId="0" borderId="16" xfId="0" applyNumberFormat="1" applyFont="1" applyFill="1" applyBorder="1" applyAlignment="1">
      <alignment horizontal="center" wrapText="1"/>
    </xf>
    <xf numFmtId="3" fontId="0" fillId="7" borderId="16" xfId="0" applyNumberFormat="1" applyFill="1" applyBorder="1" applyAlignment="1">
      <alignment horizontal="center"/>
    </xf>
    <xf numFmtId="3" fontId="0" fillId="7" borderId="15" xfId="0" applyNumberFormat="1" applyFill="1" applyBorder="1" applyAlignment="1">
      <alignment horizontal="center"/>
    </xf>
    <xf numFmtId="3" fontId="0" fillId="6" borderId="16" xfId="0" applyNumberFormat="1" applyFill="1" applyBorder="1" applyAlignment="1">
      <alignment horizontal="center"/>
    </xf>
    <xf numFmtId="3" fontId="0" fillId="0" borderId="15" xfId="0" applyNumberFormat="1" applyBorder="1" applyAlignment="1">
      <alignment horizontal="center"/>
    </xf>
    <xf numFmtId="3" fontId="0" fillId="0" borderId="16" xfId="0" applyNumberFormat="1" applyBorder="1" applyAlignment="1">
      <alignment horizontal="center"/>
    </xf>
    <xf numFmtId="3" fontId="0" fillId="6" borderId="15" xfId="0" applyNumberFormat="1" applyFill="1" applyBorder="1" applyAlignment="1">
      <alignment horizontal="center"/>
    </xf>
    <xf numFmtId="3" fontId="0" fillId="7" borderId="17" xfId="0" applyNumberFormat="1" applyFill="1" applyBorder="1" applyAlignment="1">
      <alignment horizontal="center"/>
    </xf>
    <xf numFmtId="3" fontId="0" fillId="0" borderId="17" xfId="0" applyNumberFormat="1" applyBorder="1" applyAlignment="1">
      <alignment horizontal="center"/>
    </xf>
    <xf numFmtId="3" fontId="0" fillId="6" borderId="17" xfId="0" applyNumberFormat="1" applyFill="1" applyBorder="1" applyAlignment="1">
      <alignment horizontal="center"/>
    </xf>
    <xf numFmtId="3" fontId="5" fillId="7" borderId="12" xfId="0" applyNumberFormat="1" applyFont="1" applyFill="1" applyBorder="1" applyAlignment="1">
      <alignment horizontal="center" wrapText="1"/>
    </xf>
    <xf numFmtId="3" fontId="0" fillId="7" borderId="12" xfId="0" applyNumberFormat="1" applyFont="1" applyFill="1" applyBorder="1" applyAlignment="1">
      <alignment horizontal="center" wrapText="1"/>
    </xf>
    <xf numFmtId="3" fontId="0" fillId="7" borderId="12" xfId="6" applyNumberFormat="1" applyFont="1" applyFill="1" applyBorder="1" applyAlignment="1">
      <alignment horizontal="center"/>
    </xf>
    <xf numFmtId="0" fontId="5" fillId="0" borderId="5" xfId="0" applyFont="1" applyBorder="1" applyAlignment="1">
      <alignment horizontal="center"/>
    </xf>
    <xf numFmtId="0" fontId="5" fillId="0" borderId="38" xfId="0" applyFont="1" applyBorder="1" applyAlignment="1">
      <alignment horizontal="center"/>
    </xf>
    <xf numFmtId="3" fontId="0" fillId="0" borderId="18" xfId="6" applyNumberFormat="1" applyFont="1" applyFill="1" applyBorder="1" applyAlignment="1">
      <alignment horizontal="center"/>
    </xf>
    <xf numFmtId="3" fontId="0" fillId="0" borderId="19" xfId="6" applyNumberFormat="1" applyFont="1" applyFill="1" applyBorder="1" applyAlignment="1">
      <alignment horizontal="center"/>
    </xf>
    <xf numFmtId="3" fontId="5" fillId="0" borderId="16" xfId="0" applyNumberFormat="1" applyFont="1" applyFill="1" applyBorder="1" applyAlignment="1">
      <alignment horizontal="center" wrapText="1"/>
    </xf>
    <xf numFmtId="3" fontId="5" fillId="0" borderId="16" xfId="0" applyNumberFormat="1" applyFont="1" applyBorder="1" applyAlignment="1">
      <alignment horizontal="center"/>
    </xf>
    <xf numFmtId="3" fontId="0" fillId="0" borderId="16" xfId="0" applyNumberFormat="1" applyFill="1" applyBorder="1" applyAlignment="1">
      <alignment horizontal="center"/>
    </xf>
    <xf numFmtId="0" fontId="1" fillId="0" borderId="0" xfId="14" applyFont="1"/>
    <xf numFmtId="3" fontId="5" fillId="7" borderId="16" xfId="0" applyNumberFormat="1" applyFont="1" applyFill="1" applyBorder="1" applyAlignment="1">
      <alignment horizontal="center"/>
    </xf>
    <xf numFmtId="3" fontId="0" fillId="7" borderId="15" xfId="0" applyNumberFormat="1" applyFill="1" applyBorder="1" applyAlignment="1">
      <alignment horizontal="center" vertical="center"/>
    </xf>
    <xf numFmtId="3" fontId="0" fillId="0" borderId="15" xfId="0" applyNumberFormat="1" applyBorder="1" applyAlignment="1">
      <alignment horizontal="center" vertical="center"/>
    </xf>
    <xf numFmtId="3" fontId="0" fillId="6" borderId="15" xfId="0" applyNumberFormat="1" applyFill="1" applyBorder="1" applyAlignment="1">
      <alignment horizontal="center" vertical="center"/>
    </xf>
    <xf numFmtId="3" fontId="6" fillId="0" borderId="15" xfId="6" applyNumberFormat="1" applyFont="1" applyFill="1" applyBorder="1" applyAlignment="1">
      <alignment horizontal="center" vertical="center"/>
    </xf>
    <xf numFmtId="3" fontId="31" fillId="7" borderId="62" xfId="14" applyNumberFormat="1" applyFont="1" applyFill="1" applyBorder="1" applyAlignment="1">
      <alignment horizontal="center"/>
    </xf>
    <xf numFmtId="3" fontId="31" fillId="6" borderId="63" xfId="14" applyNumberFormat="1" applyFont="1" applyFill="1" applyBorder="1" applyAlignment="1">
      <alignment horizontal="center"/>
    </xf>
    <xf numFmtId="3" fontId="31" fillId="0" borderId="59" xfId="14" applyNumberFormat="1" applyFont="1" applyBorder="1" applyAlignment="1">
      <alignment horizontal="center"/>
    </xf>
    <xf numFmtId="3" fontId="1" fillId="6" borderId="15" xfId="14" applyNumberFormat="1" applyFont="1" applyFill="1" applyBorder="1" applyAlignment="1">
      <alignment horizontal="center"/>
    </xf>
    <xf numFmtId="3" fontId="1" fillId="7" borderId="15" xfId="14" applyNumberFormat="1" applyFont="1" applyFill="1" applyBorder="1" applyAlignment="1">
      <alignment horizontal="center"/>
    </xf>
    <xf numFmtId="3" fontId="31" fillId="7" borderId="6" xfId="14" applyNumberFormat="1" applyFont="1" applyFill="1" applyBorder="1" applyAlignment="1">
      <alignment horizontal="center"/>
    </xf>
    <xf numFmtId="3" fontId="31" fillId="6" borderId="6" xfId="14" applyNumberFormat="1" applyFont="1" applyFill="1" applyBorder="1" applyAlignment="1">
      <alignment horizontal="center"/>
    </xf>
    <xf numFmtId="3" fontId="31" fillId="6" borderId="15" xfId="14" applyNumberFormat="1" applyFont="1" applyFill="1" applyBorder="1" applyAlignment="1">
      <alignment horizontal="center"/>
    </xf>
    <xf numFmtId="3" fontId="31" fillId="7" borderId="15" xfId="14" applyNumberFormat="1" applyFont="1" applyFill="1" applyBorder="1" applyAlignment="1">
      <alignment horizontal="center"/>
    </xf>
    <xf numFmtId="3" fontId="31" fillId="0" borderId="6" xfId="14" applyNumberFormat="1" applyFont="1" applyBorder="1" applyAlignment="1">
      <alignment horizontal="center"/>
    </xf>
    <xf numFmtId="3" fontId="31" fillId="0" borderId="15" xfId="14" applyNumberFormat="1" applyFont="1" applyBorder="1" applyAlignment="1">
      <alignment horizontal="center"/>
    </xf>
    <xf numFmtId="3" fontId="13" fillId="7" borderId="41" xfId="0" applyNumberFormat="1" applyFont="1" applyFill="1" applyBorder="1" applyAlignment="1">
      <alignment horizontal="center"/>
    </xf>
    <xf numFmtId="3" fontId="13" fillId="6" borderId="13" xfId="6" applyNumberFormat="1" applyFont="1" applyFill="1" applyBorder="1" applyAlignment="1">
      <alignment horizontal="center"/>
    </xf>
    <xf numFmtId="3" fontId="13" fillId="0" borderId="13" xfId="6" applyNumberFormat="1" applyFont="1" applyFill="1" applyBorder="1" applyAlignment="1">
      <alignment horizontal="center"/>
    </xf>
    <xf numFmtId="3" fontId="13" fillId="7" borderId="6" xfId="0" applyNumberFormat="1" applyFont="1" applyFill="1" applyBorder="1" applyAlignment="1">
      <alignment horizontal="center"/>
    </xf>
    <xf numFmtId="3" fontId="13" fillId="6" borderId="15" xfId="6" applyNumberFormat="1" applyFont="1" applyFill="1" applyBorder="1" applyAlignment="1">
      <alignment horizontal="center"/>
    </xf>
    <xf numFmtId="3" fontId="13" fillId="0" borderId="15" xfId="6" applyNumberFormat="1" applyFont="1" applyFill="1" applyBorder="1" applyAlignment="1">
      <alignment horizontal="center"/>
    </xf>
    <xf numFmtId="3" fontId="31" fillId="7" borderId="15" xfId="14" applyNumberFormat="1" applyFont="1" applyFill="1" applyBorder="1" applyAlignment="1">
      <alignment horizontal="center" vertical="center"/>
    </xf>
    <xf numFmtId="3" fontId="31" fillId="6" borderId="5" xfId="14" applyNumberFormat="1" applyFont="1" applyFill="1" applyBorder="1" applyAlignment="1">
      <alignment horizontal="center" vertical="center"/>
    </xf>
    <xf numFmtId="3" fontId="31" fillId="0" borderId="15" xfId="14" applyNumberFormat="1" applyFont="1" applyBorder="1" applyAlignment="1">
      <alignment horizontal="center" vertical="center"/>
    </xf>
    <xf numFmtId="3" fontId="13" fillId="0" borderId="15" xfId="0" applyNumberFormat="1" applyFont="1" applyBorder="1" applyAlignment="1">
      <alignment horizontal="center"/>
    </xf>
    <xf numFmtId="0" fontId="13" fillId="0" borderId="0" xfId="0" applyFont="1"/>
    <xf numFmtId="0" fontId="5" fillId="0" borderId="4" xfId="0" applyFont="1" applyBorder="1" applyAlignment="1">
      <alignment horizontal="center"/>
    </xf>
    <xf numFmtId="3" fontId="5" fillId="7" borderId="14" xfId="0" applyNumberFormat="1" applyFont="1" applyFill="1" applyBorder="1" applyAlignment="1">
      <alignment horizontal="center"/>
    </xf>
    <xf numFmtId="0" fontId="30" fillId="8" borderId="0" xfId="15"/>
    <xf numFmtId="0" fontId="5" fillId="0" borderId="15" xfId="0" applyFont="1" applyBorder="1" applyAlignment="1">
      <alignment horizontal="center"/>
    </xf>
    <xf numFmtId="3" fontId="5" fillId="7" borderId="15" xfId="0" applyNumberFormat="1" applyFont="1" applyFill="1" applyBorder="1" applyAlignment="1">
      <alignment horizontal="center"/>
    </xf>
    <xf numFmtId="3" fontId="0" fillId="7" borderId="15" xfId="6" applyNumberFormat="1" applyFont="1" applyFill="1" applyBorder="1" applyAlignment="1">
      <alignment horizontal="center"/>
    </xf>
    <xf numFmtId="3" fontId="1" fillId="0" borderId="15" xfId="14" applyNumberFormat="1" applyFont="1" applyFill="1" applyBorder="1" applyAlignment="1">
      <alignment horizontal="center"/>
    </xf>
    <xf numFmtId="3" fontId="31" fillId="0" borderId="15" xfId="14" applyNumberFormat="1" applyFont="1" applyFill="1" applyBorder="1" applyAlignment="1">
      <alignment horizontal="center"/>
    </xf>
    <xf numFmtId="0" fontId="6" fillId="6" borderId="16" xfId="6" applyNumberFormat="1" applyFont="1" applyFill="1" applyBorder="1" applyAlignment="1">
      <alignment horizontal="center"/>
    </xf>
    <xf numFmtId="3" fontId="0" fillId="6" borderId="13" xfId="6" applyNumberFormat="1" applyFont="1" applyFill="1" applyBorder="1" applyAlignment="1">
      <alignment horizontal="center"/>
    </xf>
    <xf numFmtId="168" fontId="0" fillId="0" borderId="17" xfId="7" applyNumberFormat="1" applyFont="1" applyFill="1" applyBorder="1" applyAlignment="1">
      <alignment wrapText="1"/>
    </xf>
    <xf numFmtId="168" fontId="0" fillId="0" borderId="24" xfId="7" applyNumberFormat="1" applyFont="1" applyFill="1" applyBorder="1" applyAlignment="1">
      <alignment wrapText="1"/>
    </xf>
    <xf numFmtId="168" fontId="0" fillId="0" borderId="8" xfId="7" applyNumberFormat="1" applyFont="1" applyFill="1" applyBorder="1" applyAlignment="1">
      <alignment wrapText="1"/>
    </xf>
    <xf numFmtId="166" fontId="0" fillId="0" borderId="17" xfId="0" applyNumberFormat="1" applyBorder="1"/>
    <xf numFmtId="166" fontId="0" fillId="0" borderId="14" xfId="7" applyNumberFormat="1" applyFont="1" applyBorder="1"/>
    <xf numFmtId="0" fontId="20" fillId="0" borderId="0" xfId="0" applyFont="1"/>
    <xf numFmtId="6" fontId="20" fillId="0" borderId="0" xfId="0" applyNumberFormat="1" applyFont="1"/>
    <xf numFmtId="0" fontId="18" fillId="13" borderId="4" xfId="9" applyFont="1" applyFill="1" applyBorder="1" applyAlignment="1">
      <alignment horizontal="center"/>
    </xf>
    <xf numFmtId="0" fontId="18" fillId="13" borderId="4" xfId="9" applyFont="1" applyFill="1" applyBorder="1" applyAlignment="1">
      <alignment horizontal="center" wrapText="1"/>
    </xf>
    <xf numFmtId="0" fontId="5" fillId="0" borderId="13" xfId="0" applyFont="1" applyBorder="1" applyAlignment="1">
      <alignment horizontal="center"/>
    </xf>
    <xf numFmtId="3" fontId="5" fillId="7" borderId="13" xfId="0" applyNumberFormat="1" applyFont="1" applyFill="1" applyBorder="1" applyAlignment="1">
      <alignment horizontal="center"/>
    </xf>
    <xf numFmtId="3" fontId="0" fillId="7" borderId="13" xfId="6" applyNumberFormat="1" applyFont="1" applyFill="1" applyBorder="1" applyAlignment="1">
      <alignment horizontal="center"/>
    </xf>
    <xf numFmtId="3" fontId="6" fillId="6" borderId="13" xfId="6" applyNumberFormat="1" applyFont="1" applyFill="1" applyBorder="1" applyAlignment="1">
      <alignment horizontal="center"/>
    </xf>
    <xf numFmtId="3" fontId="6" fillId="0" borderId="13" xfId="6" applyNumberFormat="1" applyFont="1" applyFill="1" applyBorder="1" applyAlignment="1">
      <alignment horizontal="center"/>
    </xf>
    <xf numFmtId="172" fontId="20" fillId="0" borderId="0" xfId="0" applyNumberFormat="1" applyFont="1"/>
    <xf numFmtId="4" fontId="6" fillId="6" borderId="15" xfId="6" applyNumberFormat="1" applyFont="1" applyFill="1" applyBorder="1" applyAlignment="1">
      <alignment horizontal="center"/>
    </xf>
    <xf numFmtId="4" fontId="6" fillId="6" borderId="16" xfId="6" applyNumberFormat="1" applyFont="1" applyFill="1" applyBorder="1" applyAlignment="1">
      <alignment horizontal="center"/>
    </xf>
    <xf numFmtId="4" fontId="6" fillId="0" borderId="15" xfId="6" applyNumberFormat="1" applyFont="1" applyFill="1" applyBorder="1" applyAlignment="1">
      <alignment horizontal="center"/>
    </xf>
    <xf numFmtId="4" fontId="6" fillId="0" borderId="16" xfId="6" applyNumberFormat="1" applyFont="1" applyFill="1" applyBorder="1" applyAlignment="1">
      <alignment horizontal="center"/>
    </xf>
    <xf numFmtId="0" fontId="0" fillId="0" borderId="64" xfId="0" applyBorder="1"/>
    <xf numFmtId="4" fontId="6" fillId="0" borderId="0" xfId="6" applyNumberFormat="1" applyFont="1" applyFill="1" applyBorder="1" applyAlignment="1">
      <alignment horizontal="center"/>
    </xf>
    <xf numFmtId="4" fontId="6" fillId="0" borderId="18" xfId="6" applyNumberFormat="1" applyFont="1" applyFill="1" applyBorder="1" applyAlignment="1">
      <alignment horizontal="center"/>
    </xf>
    <xf numFmtId="4" fontId="6" fillId="0" borderId="19" xfId="6" applyNumberFormat="1" applyFont="1" applyFill="1" applyBorder="1" applyAlignment="1">
      <alignment horizontal="center"/>
    </xf>
    <xf numFmtId="4" fontId="6" fillId="7" borderId="15" xfId="6" applyNumberFormat="1" applyFont="1" applyFill="1" applyBorder="1" applyAlignment="1">
      <alignment horizontal="center"/>
    </xf>
    <xf numFmtId="4" fontId="5" fillId="7" borderId="16" xfId="0" applyNumberFormat="1" applyFont="1" applyFill="1" applyBorder="1" applyAlignment="1">
      <alignment horizontal="center"/>
    </xf>
    <xf numFmtId="4" fontId="0" fillId="7" borderId="16" xfId="6" applyNumberFormat="1" applyFont="1" applyFill="1" applyBorder="1" applyAlignment="1">
      <alignment horizontal="center"/>
    </xf>
    <xf numFmtId="173" fontId="6" fillId="6" borderId="15" xfId="6" applyNumberFormat="1" applyFont="1" applyFill="1" applyBorder="1" applyAlignment="1">
      <alignment horizontal="center"/>
    </xf>
    <xf numFmtId="173" fontId="5" fillId="7" borderId="16" xfId="0" applyNumberFormat="1" applyFont="1" applyFill="1" applyBorder="1" applyAlignment="1">
      <alignment horizontal="center"/>
    </xf>
    <xf numFmtId="173" fontId="0" fillId="7" borderId="16" xfId="6" applyNumberFormat="1" applyFont="1" applyFill="1" applyBorder="1" applyAlignment="1">
      <alignment horizontal="center"/>
    </xf>
    <xf numFmtId="173" fontId="6" fillId="6" borderId="16" xfId="6" applyNumberFormat="1" applyFont="1" applyFill="1" applyBorder="1" applyAlignment="1">
      <alignment horizontal="center"/>
    </xf>
    <xf numFmtId="173" fontId="6" fillId="0" borderId="16" xfId="6" applyNumberFormat="1" applyFont="1" applyFill="1" applyBorder="1" applyAlignment="1">
      <alignment horizontal="center"/>
    </xf>
    <xf numFmtId="173" fontId="0" fillId="0" borderId="15" xfId="6" applyNumberFormat="1" applyFont="1" applyFill="1" applyBorder="1" applyAlignment="1">
      <alignment horizontal="center"/>
    </xf>
    <xf numFmtId="173" fontId="0" fillId="0" borderId="16" xfId="6" applyNumberFormat="1" applyFont="1" applyFill="1" applyBorder="1" applyAlignment="1">
      <alignment horizontal="center"/>
    </xf>
    <xf numFmtId="173" fontId="0" fillId="0" borderId="18" xfId="6" applyNumberFormat="1" applyFont="1" applyFill="1" applyBorder="1" applyAlignment="1">
      <alignment horizontal="center"/>
    </xf>
    <xf numFmtId="173" fontId="0" fillId="0" borderId="19" xfId="6" applyNumberFormat="1" applyFont="1" applyFill="1" applyBorder="1" applyAlignment="1">
      <alignment horizontal="center"/>
    </xf>
    <xf numFmtId="173" fontId="6" fillId="7" borderId="15" xfId="6" applyNumberFormat="1" applyFont="1" applyFill="1" applyBorder="1" applyAlignment="1">
      <alignment horizontal="center"/>
    </xf>
    <xf numFmtId="173" fontId="6" fillId="0" borderId="15" xfId="6" applyNumberFormat="1" applyFont="1" applyFill="1" applyBorder="1" applyAlignment="1">
      <alignment horizontal="center"/>
    </xf>
    <xf numFmtId="3" fontId="6" fillId="0" borderId="64" xfId="6" applyNumberFormat="1" applyFont="1" applyFill="1" applyBorder="1" applyAlignment="1">
      <alignment horizontal="center"/>
    </xf>
    <xf numFmtId="0" fontId="0" fillId="0" borderId="65" xfId="0" applyBorder="1"/>
    <xf numFmtId="3" fontId="0" fillId="0" borderId="19" xfId="0" applyNumberFormat="1" applyFill="1" applyBorder="1" applyAlignment="1">
      <alignment horizontal="center"/>
    </xf>
    <xf numFmtId="3" fontId="6" fillId="0" borderId="19" xfId="6" applyNumberFormat="1" applyFont="1" applyFill="1" applyBorder="1" applyAlignment="1">
      <alignment horizontal="center"/>
    </xf>
    <xf numFmtId="0" fontId="5" fillId="6" borderId="15" xfId="0" applyFont="1" applyFill="1" applyBorder="1"/>
    <xf numFmtId="0" fontId="0" fillId="6" borderId="17" xfId="0" applyFill="1" applyBorder="1"/>
    <xf numFmtId="0" fontId="0" fillId="6" borderId="14" xfId="0" applyFill="1" applyBorder="1"/>
    <xf numFmtId="0" fontId="0" fillId="6" borderId="16" xfId="0" applyFill="1" applyBorder="1"/>
    <xf numFmtId="0" fontId="5" fillId="0" borderId="15" xfId="0" applyFont="1" applyBorder="1"/>
    <xf numFmtId="0" fontId="5" fillId="0" borderId="16" xfId="0" applyFont="1" applyBorder="1"/>
    <xf numFmtId="0" fontId="5" fillId="0" borderId="17" xfId="0" applyFont="1" applyBorder="1"/>
    <xf numFmtId="0" fontId="5" fillId="0" borderId="14" xfId="0" applyFont="1" applyBorder="1"/>
    <xf numFmtId="0" fontId="0" fillId="0" borderId="15" xfId="0" applyBorder="1" applyAlignment="1">
      <alignment wrapText="1"/>
    </xf>
    <xf numFmtId="0" fontId="0" fillId="16" borderId="16" xfId="0" applyFill="1" applyBorder="1"/>
    <xf numFmtId="0" fontId="0" fillId="4" borderId="15" xfId="0" applyFill="1" applyBorder="1" applyAlignment="1">
      <alignment horizontal="left"/>
    </xf>
    <xf numFmtId="166" fontId="0" fillId="4" borderId="17" xfId="0" applyNumberFormat="1" applyFill="1" applyBorder="1" applyAlignment="1">
      <alignment horizontal="center"/>
    </xf>
    <xf numFmtId="168" fontId="0" fillId="4" borderId="0" xfId="7" applyNumberFormat="1" applyFont="1" applyFill="1" applyBorder="1"/>
    <xf numFmtId="166" fontId="0" fillId="4" borderId="16" xfId="0" applyNumberFormat="1" applyFill="1" applyBorder="1" applyAlignment="1">
      <alignment horizontal="center"/>
    </xf>
    <xf numFmtId="0" fontId="0" fillId="16" borderId="15" xfId="0" applyFill="1" applyBorder="1" applyAlignment="1">
      <alignment horizontal="left"/>
    </xf>
    <xf numFmtId="166" fontId="0" fillId="16" borderId="17" xfId="0" applyNumberFormat="1" applyFill="1" applyBorder="1" applyAlignment="1">
      <alignment horizontal="center"/>
    </xf>
    <xf numFmtId="166" fontId="0" fillId="4" borderId="14" xfId="0" applyNumberFormat="1" applyFill="1" applyBorder="1" applyAlignment="1">
      <alignment horizontal="center"/>
    </xf>
    <xf numFmtId="166" fontId="0" fillId="16" borderId="16" xfId="0" applyNumberFormat="1" applyFill="1" applyBorder="1" applyAlignment="1">
      <alignment horizontal="center"/>
    </xf>
    <xf numFmtId="0" fontId="0" fillId="0" borderId="18" xfId="0" applyBorder="1" applyAlignment="1">
      <alignment wrapText="1"/>
    </xf>
    <xf numFmtId="0" fontId="0" fillId="16" borderId="19" xfId="0" applyFill="1" applyBorder="1"/>
    <xf numFmtId="0" fontId="5" fillId="0" borderId="16" xfId="0" applyFont="1" applyBorder="1" applyAlignment="1">
      <alignment horizontal="right"/>
    </xf>
    <xf numFmtId="6" fontId="0" fillId="16" borderId="16" xfId="0" applyNumberFormat="1" applyFill="1" applyBorder="1"/>
    <xf numFmtId="8" fontId="0" fillId="16" borderId="16" xfId="0" applyNumberFormat="1" applyFill="1" applyBorder="1"/>
    <xf numFmtId="0" fontId="5" fillId="0" borderId="15" xfId="0" applyFont="1" applyBorder="1" applyAlignment="1">
      <alignment wrapText="1"/>
    </xf>
    <xf numFmtId="0" fontId="0" fillId="4" borderId="15" xfId="0" applyFill="1" applyBorder="1" applyAlignment="1">
      <alignment horizontal="left" wrapText="1"/>
    </xf>
    <xf numFmtId="0" fontId="0" fillId="4" borderId="17" xfId="0" applyFill="1" applyBorder="1" applyAlignment="1">
      <alignment horizontal="center"/>
    </xf>
    <xf numFmtId="0" fontId="0" fillId="16" borderId="15" xfId="0" applyFill="1" applyBorder="1" applyAlignment="1">
      <alignment horizontal="left" wrapText="1"/>
    </xf>
    <xf numFmtId="0" fontId="0" fillId="16" borderId="17" xfId="0" applyFill="1" applyBorder="1" applyAlignment="1">
      <alignment horizontal="center"/>
    </xf>
    <xf numFmtId="6" fontId="0" fillId="16" borderId="19" xfId="0" applyNumberFormat="1" applyFill="1" applyBorder="1"/>
    <xf numFmtId="0" fontId="5" fillId="0" borderId="6" xfId="0" applyFont="1" applyBorder="1"/>
    <xf numFmtId="0" fontId="0" fillId="0" borderId="8" xfId="0" applyBorder="1"/>
    <xf numFmtId="0" fontId="0" fillId="0" borderId="7" xfId="0" applyBorder="1"/>
    <xf numFmtId="0" fontId="0" fillId="16" borderId="5" xfId="0" applyFill="1" applyBorder="1" applyAlignment="1">
      <alignment horizontal="left"/>
    </xf>
    <xf numFmtId="166" fontId="0" fillId="4" borderId="4" xfId="0" applyNumberFormat="1" applyFill="1" applyBorder="1" applyAlignment="1">
      <alignment horizontal="center"/>
    </xf>
    <xf numFmtId="175" fontId="0" fillId="16" borderId="24" xfId="0" applyNumberFormat="1" applyFill="1" applyBorder="1" applyAlignment="1">
      <alignment horizontal="center"/>
    </xf>
    <xf numFmtId="0" fontId="0" fillId="2" borderId="6" xfId="0" applyFill="1" applyBorder="1" applyAlignment="1">
      <alignment horizontal="left"/>
    </xf>
    <xf numFmtId="168" fontId="0" fillId="2" borderId="6" xfId="7" applyNumberFormat="1" applyFont="1" applyFill="1" applyBorder="1" applyAlignment="1">
      <alignment horizontal="left"/>
    </xf>
    <xf numFmtId="166" fontId="0" fillId="4" borderId="8" xfId="0" applyNumberFormat="1" applyFill="1" applyBorder="1" applyAlignment="1">
      <alignment horizontal="center"/>
    </xf>
    <xf numFmtId="166" fontId="0" fillId="2" borderId="7" xfId="0" applyNumberFormat="1" applyFill="1" applyBorder="1" applyAlignment="1">
      <alignment horizontal="center"/>
    </xf>
    <xf numFmtId="0" fontId="0" fillId="2" borderId="15" xfId="0" applyFill="1" applyBorder="1" applyAlignment="1">
      <alignment horizontal="left"/>
    </xf>
    <xf numFmtId="168" fontId="0" fillId="2" borderId="15" xfId="7" applyNumberFormat="1" applyFont="1" applyFill="1" applyBorder="1" applyAlignment="1">
      <alignment horizontal="left"/>
    </xf>
    <xf numFmtId="166" fontId="0" fillId="2" borderId="16" xfId="0" applyNumberFormat="1" applyFill="1" applyBorder="1" applyAlignment="1">
      <alignment horizontal="center"/>
    </xf>
    <xf numFmtId="175" fontId="0" fillId="2" borderId="16" xfId="0" applyNumberFormat="1" applyFill="1" applyBorder="1" applyAlignment="1">
      <alignment horizontal="center"/>
    </xf>
    <xf numFmtId="8" fontId="0" fillId="16" borderId="19" xfId="0" applyNumberFormat="1" applyFill="1" applyBorder="1"/>
    <xf numFmtId="0" fontId="0" fillId="2" borderId="18" xfId="0" applyFill="1" applyBorder="1" applyAlignment="1">
      <alignment horizontal="left"/>
    </xf>
    <xf numFmtId="168" fontId="0" fillId="2" borderId="18" xfId="7" applyNumberFormat="1" applyFont="1" applyFill="1" applyBorder="1" applyAlignment="1">
      <alignment horizontal="left"/>
    </xf>
    <xf numFmtId="166" fontId="0" fillId="4" borderId="20" xfId="0" applyNumberFormat="1" applyFill="1" applyBorder="1" applyAlignment="1">
      <alignment horizontal="center"/>
    </xf>
    <xf numFmtId="166" fontId="0" fillId="2" borderId="19" xfId="0" applyNumberFormat="1" applyFill="1" applyBorder="1" applyAlignment="1">
      <alignment horizontal="center"/>
    </xf>
    <xf numFmtId="175" fontId="0" fillId="2" borderId="19" xfId="0" applyNumberFormat="1" applyFill="1" applyBorder="1" applyAlignment="1">
      <alignment horizontal="center"/>
    </xf>
    <xf numFmtId="0" fontId="9" fillId="0" borderId="0" xfId="5" applyFill="1"/>
    <xf numFmtId="0" fontId="21" fillId="4" borderId="0" xfId="10" applyFont="1" applyFill="1" applyBorder="1" applyAlignment="1">
      <alignment horizontal="center"/>
    </xf>
    <xf numFmtId="168" fontId="0" fillId="0" borderId="0" xfId="0" applyNumberFormat="1"/>
    <xf numFmtId="44" fontId="0" fillId="0" borderId="0" xfId="0" applyNumberFormat="1"/>
    <xf numFmtId="5" fontId="0" fillId="0" borderId="0" xfId="0" applyNumberFormat="1"/>
    <xf numFmtId="0" fontId="0" fillId="0" borderId="0" xfId="0"/>
    <xf numFmtId="0" fontId="5" fillId="0" borderId="18" xfId="0" applyFont="1" applyBorder="1" applyAlignment="1">
      <alignment horizontal="center"/>
    </xf>
    <xf numFmtId="0" fontId="5" fillId="0" borderId="19" xfId="0" applyFont="1" applyBorder="1" applyAlignment="1">
      <alignment horizontal="center"/>
    </xf>
    <xf numFmtId="169" fontId="0" fillId="7" borderId="13" xfId="6" applyNumberFormat="1" applyFont="1" applyFill="1" applyBorder="1" applyAlignment="1">
      <alignment horizontal="center"/>
    </xf>
    <xf numFmtId="169" fontId="5" fillId="6" borderId="13" xfId="6" applyNumberFormat="1" applyFont="1" applyFill="1" applyBorder="1" applyAlignment="1">
      <alignment horizontal="center"/>
    </xf>
    <xf numFmtId="169" fontId="6" fillId="5" borderId="13" xfId="6" applyNumberFormat="1" applyFont="1" applyFill="1" applyBorder="1" applyAlignment="1">
      <alignment horizontal="center"/>
    </xf>
    <xf numFmtId="169" fontId="0" fillId="0" borderId="13" xfId="6" applyNumberFormat="1" applyFont="1" applyBorder="1" applyAlignment="1">
      <alignment horizontal="center"/>
    </xf>
    <xf numFmtId="169" fontId="0" fillId="7" borderId="15" xfId="6" applyNumberFormat="1" applyFont="1" applyFill="1" applyBorder="1" applyAlignment="1">
      <alignment horizontal="center"/>
    </xf>
    <xf numFmtId="169" fontId="0" fillId="7" borderId="16" xfId="6" applyNumberFormat="1" applyFont="1" applyFill="1" applyBorder="1" applyAlignment="1">
      <alignment horizontal="center"/>
    </xf>
    <xf numFmtId="169" fontId="5" fillId="6" borderId="15" xfId="6" applyNumberFormat="1" applyFont="1" applyFill="1" applyBorder="1" applyAlignment="1">
      <alignment horizontal="center"/>
    </xf>
    <xf numFmtId="169" fontId="5" fillId="6" borderId="16" xfId="6" applyNumberFormat="1" applyFont="1" applyFill="1" applyBorder="1" applyAlignment="1">
      <alignment horizontal="center"/>
    </xf>
    <xf numFmtId="169" fontId="6" fillId="5" borderId="15" xfId="6" applyNumberFormat="1" applyFont="1" applyFill="1" applyBorder="1" applyAlignment="1">
      <alignment horizontal="center"/>
    </xf>
    <xf numFmtId="169" fontId="6" fillId="5" borderId="16" xfId="6" applyNumberFormat="1" applyFont="1" applyFill="1" applyBorder="1" applyAlignment="1">
      <alignment horizontal="center"/>
    </xf>
    <xf numFmtId="169" fontId="0" fillId="7" borderId="14" xfId="6" applyNumberFormat="1" applyFont="1" applyFill="1" applyBorder="1" applyAlignment="1">
      <alignment horizontal="center"/>
    </xf>
    <xf numFmtId="169" fontId="5" fillId="6" borderId="14" xfId="6" applyNumberFormat="1" applyFont="1" applyFill="1" applyBorder="1" applyAlignment="1">
      <alignment horizontal="center"/>
    </xf>
    <xf numFmtId="169" fontId="6" fillId="5" borderId="14" xfId="6" applyNumberFormat="1" applyFont="1" applyFill="1" applyBorder="1" applyAlignment="1">
      <alignment horizontal="center"/>
    </xf>
    <xf numFmtId="169" fontId="0" fillId="0" borderId="14" xfId="6" applyNumberFormat="1" applyFont="1" applyBorder="1" applyAlignment="1">
      <alignment horizontal="center"/>
    </xf>
    <xf numFmtId="169" fontId="0" fillId="0" borderId="15" xfId="6" applyNumberFormat="1" applyFont="1" applyBorder="1" applyAlignment="1">
      <alignment horizontal="center"/>
    </xf>
    <xf numFmtId="169" fontId="0" fillId="0" borderId="16" xfId="6" applyNumberFormat="1" applyFont="1" applyBorder="1" applyAlignment="1">
      <alignment horizontal="center"/>
    </xf>
    <xf numFmtId="169" fontId="0" fillId="0" borderId="18" xfId="6" applyNumberFormat="1" applyFont="1" applyBorder="1" applyAlignment="1">
      <alignment horizontal="center"/>
    </xf>
    <xf numFmtId="169" fontId="0" fillId="0" borderId="19" xfId="6" applyNumberFormat="1" applyFont="1" applyBorder="1" applyAlignment="1">
      <alignment horizontal="center"/>
    </xf>
    <xf numFmtId="169" fontId="0" fillId="0" borderId="21" xfId="6" applyNumberFormat="1" applyFont="1" applyBorder="1" applyAlignment="1">
      <alignment horizontal="center"/>
    </xf>
    <xf numFmtId="169" fontId="0" fillId="0" borderId="51" xfId="6" applyNumberFormat="1" applyFont="1" applyBorder="1" applyAlignment="1">
      <alignment horizontal="center"/>
    </xf>
    <xf numFmtId="169" fontId="0" fillId="7" borderId="9" xfId="6" applyNumberFormat="1" applyFont="1" applyFill="1" applyBorder="1" applyAlignment="1">
      <alignment horizontal="center"/>
    </xf>
    <xf numFmtId="169" fontId="0" fillId="7" borderId="10" xfId="6" applyNumberFormat="1" applyFont="1" applyFill="1" applyBorder="1" applyAlignment="1">
      <alignment horizontal="center"/>
    </xf>
    <xf numFmtId="169" fontId="0" fillId="7" borderId="29" xfId="6" applyNumberFormat="1" applyFont="1" applyFill="1" applyBorder="1" applyAlignment="1">
      <alignment horizontal="center"/>
    </xf>
    <xf numFmtId="169" fontId="0" fillId="7" borderId="28" xfId="6" applyNumberFormat="1" applyFont="1" applyFill="1" applyBorder="1" applyAlignment="1">
      <alignment horizontal="center"/>
    </xf>
    <xf numFmtId="0" fontId="5" fillId="0" borderId="21" xfId="0" applyFont="1" applyBorder="1" applyAlignment="1">
      <alignment horizontal="center"/>
    </xf>
    <xf numFmtId="0" fontId="5" fillId="0" borderId="51" xfId="0" applyFont="1" applyBorder="1" applyAlignment="1">
      <alignment horizontal="center"/>
    </xf>
    <xf numFmtId="0" fontId="0" fillId="0" borderId="0" xfId="0"/>
    <xf numFmtId="0" fontId="11" fillId="0" borderId="0" xfId="0" applyFont="1"/>
    <xf numFmtId="0" fontId="0" fillId="7" borderId="15" xfId="6" applyNumberFormat="1" applyFont="1" applyFill="1" applyBorder="1" applyAlignment="1">
      <alignment horizontal="center"/>
    </xf>
    <xf numFmtId="0" fontId="5" fillId="6" borderId="15" xfId="6" applyNumberFormat="1" applyFont="1" applyFill="1" applyBorder="1" applyAlignment="1">
      <alignment horizontal="center"/>
    </xf>
    <xf numFmtId="0" fontId="6" fillId="5" borderId="15" xfId="6" applyNumberFormat="1" applyFont="1" applyFill="1" applyBorder="1" applyAlignment="1">
      <alignment horizontal="center"/>
    </xf>
    <xf numFmtId="0" fontId="0" fillId="0" borderId="15" xfId="6" applyNumberFormat="1" applyFont="1" applyBorder="1" applyAlignment="1">
      <alignment horizontal="center"/>
    </xf>
    <xf numFmtId="0" fontId="0" fillId="0" borderId="18" xfId="6" applyNumberFormat="1" applyFont="1" applyBorder="1" applyAlignment="1">
      <alignment horizontal="center"/>
    </xf>
    <xf numFmtId="0" fontId="5" fillId="0" borderId="16" xfId="0" applyFont="1" applyBorder="1" applyAlignment="1">
      <alignment horizontal="center"/>
    </xf>
    <xf numFmtId="169" fontId="0" fillId="0" borderId="15" xfId="6" applyNumberFormat="1" applyFont="1" applyFill="1" applyBorder="1" applyAlignment="1">
      <alignment horizontal="center"/>
    </xf>
    <xf numFmtId="169" fontId="0" fillId="0" borderId="16" xfId="6" applyNumberFormat="1" applyFont="1" applyFill="1" applyBorder="1" applyAlignment="1">
      <alignment horizontal="center"/>
    </xf>
    <xf numFmtId="0" fontId="0" fillId="7" borderId="9" xfId="6" applyNumberFormat="1" applyFont="1" applyFill="1" applyBorder="1" applyAlignment="1">
      <alignment horizontal="center"/>
    </xf>
    <xf numFmtId="0" fontId="0" fillId="0" borderId="45" xfId="0" applyBorder="1"/>
    <xf numFmtId="0" fontId="0" fillId="5" borderId="0" xfId="0" applyFill="1" applyBorder="1"/>
    <xf numFmtId="168" fontId="0" fillId="5" borderId="0" xfId="0" applyNumberFormat="1" applyFont="1" applyFill="1" applyBorder="1" applyAlignment="1">
      <alignment horizontal="left"/>
    </xf>
    <xf numFmtId="168" fontId="0" fillId="0" borderId="13" xfId="0" applyNumberFormat="1" applyFont="1" applyFill="1" applyBorder="1" applyAlignment="1">
      <alignment horizontal="left"/>
    </xf>
    <xf numFmtId="168" fontId="0" fillId="0" borderId="16" xfId="0" applyNumberFormat="1" applyFont="1" applyFill="1" applyBorder="1" applyAlignment="1">
      <alignment horizontal="left"/>
    </xf>
    <xf numFmtId="0" fontId="11" fillId="0" borderId="0" xfId="0" applyFont="1" applyAlignment="1"/>
    <xf numFmtId="0" fontId="0" fillId="0" borderId="0" xfId="0" applyAlignment="1"/>
    <xf numFmtId="0" fontId="5" fillId="0" borderId="41" xfId="0" applyFont="1" applyBorder="1" applyAlignment="1">
      <alignment horizontal="center"/>
    </xf>
    <xf numFmtId="0" fontId="5" fillId="0" borderId="7" xfId="0" applyFont="1" applyBorder="1" applyAlignment="1">
      <alignment horizontal="center"/>
    </xf>
    <xf numFmtId="0" fontId="5" fillId="0" borderId="43" xfId="0" applyFont="1" applyBorder="1" applyAlignment="1">
      <alignment horizontal="center" vertical="center"/>
    </xf>
    <xf numFmtId="0" fontId="5" fillId="0" borderId="47" xfId="0" applyFont="1" applyBorder="1" applyAlignment="1">
      <alignment horizontal="center" vertical="center"/>
    </xf>
    <xf numFmtId="0" fontId="5" fillId="5" borderId="0" xfId="0" applyFont="1" applyFill="1" applyBorder="1" applyAlignment="1">
      <alignment horizontal="center" vertical="center"/>
    </xf>
    <xf numFmtId="0" fontId="5" fillId="5" borderId="0" xfId="0" applyFont="1" applyFill="1" applyBorder="1" applyAlignment="1">
      <alignment horizontal="center"/>
    </xf>
    <xf numFmtId="0" fontId="0" fillId="5" borderId="0" xfId="0" applyFill="1" applyBorder="1" applyAlignment="1"/>
    <xf numFmtId="0" fontId="11" fillId="0" borderId="0" xfId="0" applyFont="1" applyAlignment="1">
      <alignment horizontal="center"/>
    </xf>
    <xf numFmtId="0" fontId="5" fillId="0" borderId="2" xfId="0" applyNumberFormat="1" applyFont="1" applyBorder="1" applyAlignment="1">
      <alignment horizontal="center" vertical="center" wrapText="1"/>
    </xf>
    <xf numFmtId="0" fontId="5" fillId="0" borderId="40"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31" xfId="0" applyFont="1" applyBorder="1" applyAlignment="1">
      <alignment horizontal="center"/>
    </xf>
    <xf numFmtId="0" fontId="5" fillId="0" borderId="55" xfId="0" applyFont="1" applyBorder="1" applyAlignment="1">
      <alignment horizontal="center"/>
    </xf>
    <xf numFmtId="0" fontId="5" fillId="0" borderId="32" xfId="0" applyFont="1" applyBorder="1" applyAlignment="1">
      <alignment horizontal="center"/>
    </xf>
    <xf numFmtId="0" fontId="5" fillId="0" borderId="4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6" xfId="0" applyFont="1" applyBorder="1" applyAlignment="1">
      <alignment horizontal="center" wrapText="1"/>
    </xf>
    <xf numFmtId="0" fontId="5" fillId="0" borderId="18" xfId="0" applyFont="1" applyBorder="1" applyAlignment="1">
      <alignment horizontal="center" wrapText="1"/>
    </xf>
    <xf numFmtId="0" fontId="21" fillId="4" borderId="13" xfId="10" applyFont="1" applyFill="1" applyBorder="1" applyAlignment="1">
      <alignment horizontal="center" wrapText="1"/>
    </xf>
    <xf numFmtId="0" fontId="21" fillId="4" borderId="17" xfId="10" applyFont="1" applyFill="1" applyBorder="1" applyAlignment="1">
      <alignment horizontal="center" wrapText="1"/>
    </xf>
    <xf numFmtId="0" fontId="18" fillId="13" borderId="4" xfId="9" applyFont="1" applyFill="1" applyBorder="1" applyAlignment="1">
      <alignment horizontal="center" wrapText="1"/>
    </xf>
    <xf numFmtId="0" fontId="18" fillId="13" borderId="33" xfId="9" applyFont="1" applyFill="1" applyBorder="1" applyAlignment="1">
      <alignment horizontal="center" wrapText="1"/>
    </xf>
    <xf numFmtId="0" fontId="18" fillId="13" borderId="27" xfId="9" applyFont="1" applyFill="1" applyBorder="1" applyAlignment="1">
      <alignment horizontal="center" wrapText="1"/>
    </xf>
    <xf numFmtId="0" fontId="0" fillId="0" borderId="50" xfId="0" applyBorder="1" applyAlignment="1">
      <alignment horizontal="center" vertical="center" wrapText="1"/>
    </xf>
    <xf numFmtId="0" fontId="0" fillId="0" borderId="44" xfId="0" applyBorder="1" applyAlignment="1">
      <alignment horizontal="center" vertical="center" wrapText="1"/>
    </xf>
    <xf numFmtId="0" fontId="5" fillId="0" borderId="34" xfId="0" applyFont="1" applyBorder="1" applyAlignment="1">
      <alignment horizontal="left" vertical="center" wrapText="1"/>
    </xf>
    <xf numFmtId="0" fontId="5" fillId="0" borderId="54" xfId="0" applyFont="1" applyBorder="1" applyAlignment="1">
      <alignment horizontal="left" vertical="center" wrapText="1"/>
    </xf>
    <xf numFmtId="0" fontId="5" fillId="0" borderId="35" xfId="0" applyFont="1" applyBorder="1" applyAlignment="1">
      <alignment horizontal="left" vertical="center" wrapText="1"/>
    </xf>
    <xf numFmtId="0" fontId="0" fillId="0" borderId="8" xfId="0" applyBorder="1" applyAlignment="1">
      <alignment horizontal="left" wrapText="1"/>
    </xf>
    <xf numFmtId="0" fontId="0" fillId="0" borderId="17" xfId="0" applyBorder="1" applyAlignment="1">
      <alignment horizontal="left" wrapText="1"/>
    </xf>
    <xf numFmtId="0" fontId="0" fillId="0" borderId="24" xfId="0" applyBorder="1" applyAlignment="1">
      <alignment horizontal="left" wrapText="1"/>
    </xf>
    <xf numFmtId="0" fontId="5" fillId="2" borderId="0" xfId="0" applyFont="1" applyFill="1" applyAlignment="1">
      <alignment horizontal="center" wrapText="1"/>
    </xf>
    <xf numFmtId="0" fontId="5" fillId="2" borderId="0" xfId="0" applyFont="1" applyFill="1" applyAlignment="1">
      <alignment horizontal="center"/>
    </xf>
    <xf numFmtId="0" fontId="18" fillId="3" borderId="11" xfId="10" applyFont="1" applyFill="1" applyBorder="1" applyAlignment="1">
      <alignment horizontal="center" wrapText="1"/>
    </xf>
    <xf numFmtId="0" fontId="18" fillId="3" borderId="12" xfId="10" applyFont="1" applyFill="1" applyBorder="1" applyAlignment="1">
      <alignment horizontal="center" wrapText="1"/>
    </xf>
    <xf numFmtId="0" fontId="18" fillId="3" borderId="39" xfId="10" applyFont="1" applyFill="1" applyBorder="1" applyAlignment="1">
      <alignment horizontal="center" wrapText="1"/>
    </xf>
    <xf numFmtId="0" fontId="18" fillId="13" borderId="4" xfId="9" applyFont="1" applyFill="1" applyBorder="1" applyAlignment="1">
      <alignment horizontal="center"/>
    </xf>
    <xf numFmtId="0" fontId="18" fillId="13" borderId="27" xfId="9" applyFont="1" applyFill="1" applyBorder="1" applyAlignment="1">
      <alignment horizontal="center"/>
    </xf>
    <xf numFmtId="43" fontId="18" fillId="13" borderId="14" xfId="6" applyFont="1" applyFill="1" applyBorder="1" applyAlignment="1">
      <alignment horizontal="center"/>
    </xf>
    <xf numFmtId="43" fontId="18" fillId="13" borderId="12" xfId="6" applyFont="1" applyFill="1" applyBorder="1" applyAlignment="1">
      <alignment horizontal="center"/>
    </xf>
    <xf numFmtId="0" fontId="18" fillId="3" borderId="3" xfId="10" applyFont="1" applyFill="1" applyBorder="1" applyAlignment="1">
      <alignment horizontal="center" wrapText="1"/>
    </xf>
    <xf numFmtId="0" fontId="18" fillId="3" borderId="2" xfId="10" applyFont="1" applyFill="1" applyBorder="1" applyAlignment="1">
      <alignment horizontal="center" wrapText="1"/>
    </xf>
    <xf numFmtId="0" fontId="18" fillId="3" borderId="40" xfId="10" applyFont="1" applyFill="1" applyBorder="1" applyAlignment="1">
      <alignment horizontal="center" wrapText="1"/>
    </xf>
    <xf numFmtId="0" fontId="29" fillId="0" borderId="8" xfId="14" applyFont="1" applyBorder="1" applyAlignment="1">
      <alignment horizontal="center"/>
    </xf>
    <xf numFmtId="0" fontId="29" fillId="0" borderId="7" xfId="14" applyFont="1" applyBorder="1" applyAlignment="1">
      <alignment horizontal="center"/>
    </xf>
    <xf numFmtId="0" fontId="20" fillId="0" borderId="0" xfId="0" applyFont="1"/>
    <xf numFmtId="8" fontId="20" fillId="0" borderId="0" xfId="0" applyNumberFormat="1" applyFont="1"/>
    <xf numFmtId="0" fontId="9" fillId="0" borderId="0" xfId="5"/>
    <xf numFmtId="6" fontId="20" fillId="0" borderId="0" xfId="0" applyNumberFormat="1" applyFont="1"/>
    <xf numFmtId="0" fontId="0" fillId="0" borderId="15" xfId="0" applyBorder="1"/>
    <xf numFmtId="0" fontId="0" fillId="0" borderId="17" xfId="0" applyBorder="1"/>
    <xf numFmtId="0" fontId="0" fillId="0" borderId="18" xfId="0" applyBorder="1"/>
    <xf numFmtId="0" fontId="0" fillId="0" borderId="20" xfId="0" applyBorder="1"/>
    <xf numFmtId="0" fontId="0" fillId="0" borderId="0" xfId="0" applyAlignment="1">
      <alignment horizontal="center"/>
    </xf>
    <xf numFmtId="0" fontId="13" fillId="0" borderId="15" xfId="0" applyFont="1" applyBorder="1"/>
    <xf numFmtId="0" fontId="13" fillId="0" borderId="17" xfId="0" applyFont="1" applyBorder="1"/>
    <xf numFmtId="0" fontId="5" fillId="0" borderId="15" xfId="0" applyFont="1" applyBorder="1"/>
    <xf numFmtId="0" fontId="5" fillId="0" borderId="17" xfId="0" applyFont="1" applyBorder="1"/>
    <xf numFmtId="0" fontId="32" fillId="0" borderId="15" xfId="0" applyFont="1" applyBorder="1" applyAlignment="1">
      <alignment wrapText="1"/>
    </xf>
    <xf numFmtId="0" fontId="32" fillId="0" borderId="17" xfId="0" applyFont="1" applyBorder="1" applyAlignment="1">
      <alignment wrapText="1"/>
    </xf>
    <xf numFmtId="0" fontId="32" fillId="0" borderId="16" xfId="0" applyFont="1" applyBorder="1" applyAlignment="1">
      <alignment wrapText="1"/>
    </xf>
    <xf numFmtId="0" fontId="5" fillId="6" borderId="15" xfId="0" applyFont="1" applyFill="1" applyBorder="1"/>
    <xf numFmtId="0" fontId="5" fillId="6" borderId="17" xfId="0" applyFont="1" applyFill="1" applyBorder="1"/>
    <xf numFmtId="0" fontId="0" fillId="6" borderId="46" xfId="0" applyFill="1" applyBorder="1"/>
    <xf numFmtId="0" fontId="0" fillId="6" borderId="33" xfId="0" applyFill="1" applyBorder="1"/>
    <xf numFmtId="0" fontId="0" fillId="6" borderId="66" xfId="0" applyFill="1" applyBorder="1"/>
    <xf numFmtId="0" fontId="5" fillId="6" borderId="16" xfId="0" applyFont="1" applyFill="1" applyBorder="1"/>
    <xf numFmtId="0" fontId="5" fillId="0" borderId="6" xfId="0" applyFont="1" applyBorder="1" applyAlignment="1">
      <alignment wrapText="1"/>
    </xf>
    <xf numFmtId="0" fontId="5" fillId="0" borderId="8" xfId="0" applyFont="1" applyBorder="1" applyAlignment="1">
      <alignment wrapText="1"/>
    </xf>
    <xf numFmtId="0" fontId="5" fillId="0" borderId="7" xfId="0" applyFont="1" applyBorder="1" applyAlignment="1">
      <alignment wrapText="1"/>
    </xf>
    <xf numFmtId="0" fontId="5" fillId="0" borderId="6" xfId="0" applyFont="1" applyBorder="1"/>
    <xf numFmtId="0" fontId="0" fillId="0" borderId="8" xfId="0" applyBorder="1"/>
    <xf numFmtId="0" fontId="0" fillId="0" borderId="1" xfId="0" applyBorder="1"/>
    <xf numFmtId="0" fontId="0" fillId="0" borderId="7" xfId="0" applyBorder="1"/>
    <xf numFmtId="10" fontId="0" fillId="0" borderId="0" xfId="0" applyNumberFormat="1" applyFill="1"/>
    <xf numFmtId="174" fontId="0" fillId="0" borderId="0" xfId="0" applyNumberFormat="1" applyFill="1"/>
    <xf numFmtId="167" fontId="0" fillId="0" borderId="0" xfId="1" applyNumberFormat="1" applyFont="1" applyFill="1"/>
    <xf numFmtId="166" fontId="0" fillId="0" borderId="0" xfId="0" applyNumberFormat="1" applyFill="1"/>
    <xf numFmtId="0" fontId="0" fillId="6" borderId="67" xfId="0" applyFill="1" applyBorder="1"/>
    <xf numFmtId="0" fontId="0" fillId="6" borderId="65" xfId="0" applyFill="1" applyBorder="1"/>
    <xf numFmtId="0" fontId="0" fillId="6" borderId="61" xfId="0" applyFill="1" applyBorder="1"/>
    <xf numFmtId="0" fontId="5" fillId="0" borderId="0" xfId="0" applyFont="1" applyFill="1" applyBorder="1"/>
    <xf numFmtId="166" fontId="0" fillId="0" borderId="0" xfId="0" applyNumberFormat="1" applyFill="1" applyBorder="1"/>
  </cellXfs>
  <cellStyles count="17">
    <cellStyle name="20% - Accent1 2" xfId="11" xr:uid="{1FDE2257-2BF8-45BE-A70E-E9A1230C82E0}"/>
    <cellStyle name="20% - Accent4 2" xfId="12" xr:uid="{987D2CEB-75DA-435E-B9DF-90FCD0FB08B7}"/>
    <cellStyle name="40% - Accent4 2" xfId="13" xr:uid="{C1CE6AAC-8AE5-48FC-A9BB-B9E68D3E1954}"/>
    <cellStyle name="Comma" xfId="6" builtinId="3"/>
    <cellStyle name="Currency" xfId="7" builtinId="4"/>
    <cellStyle name="Good" xfId="15" builtinId="26"/>
    <cellStyle name="Good 2" xfId="9" xr:uid="{AA751807-65E9-431F-9339-DB1BFDDA8B3B}"/>
    <cellStyle name="Hyperlink" xfId="5" builtinId="8"/>
    <cellStyle name="Neutral 2" xfId="10" xr:uid="{756DA1A7-C942-474F-9961-703987180E28}"/>
    <cellStyle name="Normal" xfId="0" builtinId="0"/>
    <cellStyle name="Normal 2" xfId="2" xr:uid="{00000000-0005-0000-0000-000004000000}"/>
    <cellStyle name="Normal 2 2" xfId="4" xr:uid="{00000000-0005-0000-0000-000005000000}"/>
    <cellStyle name="Normal 3" xfId="8" xr:uid="{24A09FC3-06B6-440E-9E4A-F3FAE70A6EF1}"/>
    <cellStyle name="Normal 3 2" xfId="16" xr:uid="{217A099B-35AF-49A9-B459-2BC16BD8D53D}"/>
    <cellStyle name="Normal 4" xfId="14" xr:uid="{B2CAC522-D66F-4120-A85A-482AA2CD036A}"/>
    <cellStyle name="Percent" xfId="1" builtinId="5"/>
    <cellStyle name="Percent 2"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1188244</xdr:colOff>
      <xdr:row>45</xdr:row>
      <xdr:rowOff>59531</xdr:rowOff>
    </xdr:from>
    <xdr:to>
      <xdr:col>15</xdr:col>
      <xdr:colOff>77238</xdr:colOff>
      <xdr:row>57</xdr:row>
      <xdr:rowOff>173831</xdr:rowOff>
    </xdr:to>
    <xdr:pic>
      <xdr:nvPicPr>
        <xdr:cNvPr id="2" name="Picture 1">
          <a:extLst>
            <a:ext uri="{FF2B5EF4-FFF2-40B4-BE49-F238E27FC236}">
              <a16:creationId xmlns:a16="http://schemas.microsoft.com/office/drawing/2014/main" id="{136D5CB4-C40B-43B5-8CD3-988307646640}"/>
            </a:ext>
          </a:extLst>
        </xdr:cNvPr>
        <xdr:cNvPicPr>
          <a:picLocks noChangeAspect="1"/>
        </xdr:cNvPicPr>
      </xdr:nvPicPr>
      <xdr:blipFill>
        <a:blip xmlns:r="http://schemas.openxmlformats.org/officeDocument/2006/relationships" r:embed="rId1"/>
        <a:stretch>
          <a:fillRect/>
        </a:stretch>
      </xdr:blipFill>
      <xdr:spPr>
        <a:xfrm>
          <a:off x="7617619" y="10441781"/>
          <a:ext cx="5449338" cy="2400300"/>
        </a:xfrm>
        <a:prstGeom prst="rect">
          <a:avLst/>
        </a:prstGeom>
      </xdr:spPr>
    </xdr:pic>
    <xdr:clientData/>
  </xdr:twoCellAnchor>
  <xdr:twoCellAnchor>
    <xdr:from>
      <xdr:col>13</xdr:col>
      <xdr:colOff>190500</xdr:colOff>
      <xdr:row>55</xdr:row>
      <xdr:rowOff>171450</xdr:rowOff>
    </xdr:from>
    <xdr:to>
      <xdr:col>14</xdr:col>
      <xdr:colOff>190500</xdr:colOff>
      <xdr:row>57</xdr:row>
      <xdr:rowOff>66675</xdr:rowOff>
    </xdr:to>
    <xdr:sp macro="" textlink="">
      <xdr:nvSpPr>
        <xdr:cNvPr id="3" name="Oval 2">
          <a:extLst>
            <a:ext uri="{FF2B5EF4-FFF2-40B4-BE49-F238E27FC236}">
              <a16:creationId xmlns:a16="http://schemas.microsoft.com/office/drawing/2014/main" id="{DE22714A-2B5F-4225-BF6D-AA045DDBD676}"/>
            </a:ext>
          </a:extLst>
        </xdr:cNvPr>
        <xdr:cNvSpPr/>
      </xdr:nvSpPr>
      <xdr:spPr>
        <a:xfrm>
          <a:off x="11944350" y="12458700"/>
          <a:ext cx="609600" cy="2762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14</xdr:col>
      <xdr:colOff>107157</xdr:colOff>
      <xdr:row>1</xdr:row>
      <xdr:rowOff>23812</xdr:rowOff>
    </xdr:from>
    <xdr:to>
      <xdr:col>22</xdr:col>
      <xdr:colOff>582656</xdr:colOff>
      <xdr:row>34</xdr:row>
      <xdr:rowOff>56202</xdr:rowOff>
    </xdr:to>
    <xdr:pic>
      <xdr:nvPicPr>
        <xdr:cNvPr id="4" name="Picture 3">
          <a:extLst>
            <a:ext uri="{FF2B5EF4-FFF2-40B4-BE49-F238E27FC236}">
              <a16:creationId xmlns:a16="http://schemas.microsoft.com/office/drawing/2014/main" id="{675906B3-8745-4FE6-B2D3-A26DFF116665}"/>
            </a:ext>
          </a:extLst>
        </xdr:cNvPr>
        <xdr:cNvPicPr>
          <a:picLocks noChangeAspect="1"/>
        </xdr:cNvPicPr>
      </xdr:nvPicPr>
      <xdr:blipFill>
        <a:blip xmlns:r="http://schemas.openxmlformats.org/officeDocument/2006/relationships" r:embed="rId2"/>
        <a:stretch>
          <a:fillRect/>
        </a:stretch>
      </xdr:blipFill>
      <xdr:spPr>
        <a:xfrm>
          <a:off x="12489657" y="214312"/>
          <a:ext cx="5999999" cy="80810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scholarship.org/uc/item/9678b4xs"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transportation.gov/sites/dot.gov/files/2022-03/Benefit%20Cost%20Analysis%20Guidance%202022%20%28Revised%29.pdf" TargetMode="External"/><Relationship Id="rId21" Type="http://schemas.openxmlformats.org/officeDocument/2006/relationships/hyperlink" Target="https://www.transportation.gov/sites/dot.gov/files/2022-03/Benefit%20Cost%20Analysis%20Guidance%202022%20%28Revised%29.pdf" TargetMode="External"/><Relationship Id="rId42" Type="http://schemas.openxmlformats.org/officeDocument/2006/relationships/hyperlink" Target="https://www.transportation.gov/sites/dot.gov/files/2022-03/Benefit%20Cost%20Analysis%20Guidance%202022%20%28Revised%29.pdf" TargetMode="External"/><Relationship Id="rId63" Type="http://schemas.openxmlformats.org/officeDocument/2006/relationships/hyperlink" Target="https://www.transportation.gov/sites/dot.gov/files/2022-03/Benefit%20Cost%20Analysis%20Guidance%202022%20%28Revised%29.pdf" TargetMode="External"/><Relationship Id="rId84" Type="http://schemas.openxmlformats.org/officeDocument/2006/relationships/hyperlink" Target="https://www.transportation.gov/sites/dot.gov/files/2022-03/Benefit%20Cost%20Analysis%20Guidance%202022%20%28Revised%29.pdf" TargetMode="External"/><Relationship Id="rId138" Type="http://schemas.openxmlformats.org/officeDocument/2006/relationships/hyperlink" Target="https://www.transportation.gov/sites/dot.gov/files/2022-03/Benefit%20Cost%20Analysis%20Guidance%202022%20%28Revised%29.pdf" TargetMode="External"/><Relationship Id="rId159" Type="http://schemas.openxmlformats.org/officeDocument/2006/relationships/hyperlink" Target="https://www.transportation.gov/sites/dot.gov/files/2022-03/Benefit%20Cost%20Analysis%20Guidance%202022%20%28Revised%29.pdf" TargetMode="External"/><Relationship Id="rId170" Type="http://schemas.openxmlformats.org/officeDocument/2006/relationships/hyperlink" Target="https://www.transportation.gov/sites/dot.gov/files/2022-03/Benefit%20Cost%20Analysis%20Guidance%202022%20%28Revised%29.pdf" TargetMode="External"/><Relationship Id="rId107" Type="http://schemas.openxmlformats.org/officeDocument/2006/relationships/hyperlink" Target="https://www.transportation.gov/sites/dot.gov/files/2022-03/Benefit%20Cost%20Analysis%20Guidance%202022%20%28Revised%29.pdf" TargetMode="External"/><Relationship Id="rId11" Type="http://schemas.openxmlformats.org/officeDocument/2006/relationships/hyperlink" Target="https://www.transportation.gov/sites/dot.gov/files/2022-03/Benefit%20Cost%20Analysis%20Guidance%202022%20%28Revised%29.pdf" TargetMode="External"/><Relationship Id="rId32" Type="http://schemas.openxmlformats.org/officeDocument/2006/relationships/hyperlink" Target="https://www.transportation.gov/sites/dot.gov/files/2022-03/Benefit%20Cost%20Analysis%20Guidance%202022%20%28Revised%29.pdf" TargetMode="External"/><Relationship Id="rId53" Type="http://schemas.openxmlformats.org/officeDocument/2006/relationships/hyperlink" Target="https://www.transportation.gov/sites/dot.gov/files/2022-03/Benefit%20Cost%20Analysis%20Guidance%202022%20%28Revised%29.pdf" TargetMode="External"/><Relationship Id="rId74" Type="http://schemas.openxmlformats.org/officeDocument/2006/relationships/hyperlink" Target="https://www.transportation.gov/sites/dot.gov/files/2022-03/Benefit%20Cost%20Analysis%20Guidance%202022%20%28Revised%29.pdf" TargetMode="External"/><Relationship Id="rId128" Type="http://schemas.openxmlformats.org/officeDocument/2006/relationships/hyperlink" Target="https://www.transportation.gov/sites/dot.gov/files/2022-03/Benefit%20Cost%20Analysis%20Guidance%202022%20%28Revised%29.pdf" TargetMode="External"/><Relationship Id="rId149" Type="http://schemas.openxmlformats.org/officeDocument/2006/relationships/hyperlink" Target="https://www.transportation.gov/sites/dot.gov/files/2022-03/Benefit%20Cost%20Analysis%20Guidance%202022%20%28Revised%29.pdf" TargetMode="External"/><Relationship Id="rId5" Type="http://schemas.openxmlformats.org/officeDocument/2006/relationships/hyperlink" Target="https://www.transportation.gov/sites/dot.gov/files/2022-03/Benefit%20Cost%20Analysis%20Guidance%202022%20%28Revised%29.pdf" TargetMode="External"/><Relationship Id="rId95" Type="http://schemas.openxmlformats.org/officeDocument/2006/relationships/hyperlink" Target="https://www.transportation.gov/sites/dot.gov/files/2022-03/Benefit%20Cost%20Analysis%20Guidance%202022%20%28Revised%29.pdf" TargetMode="External"/><Relationship Id="rId160" Type="http://schemas.openxmlformats.org/officeDocument/2006/relationships/hyperlink" Target="https://www.transportation.gov/sites/dot.gov/files/2022-03/Benefit%20Cost%20Analysis%20Guidance%202022%20%28Revised%29.pdf" TargetMode="External"/><Relationship Id="rId181" Type="http://schemas.openxmlformats.org/officeDocument/2006/relationships/hyperlink" Target="https://www.transportation.gov/sites/dot.gov/files/2022-03/Benefit%20Cost%20Analysis%20Guidance%202022%20%28Revised%29.pdf" TargetMode="External"/><Relationship Id="rId22" Type="http://schemas.openxmlformats.org/officeDocument/2006/relationships/hyperlink" Target="https://www.transportation.gov/sites/dot.gov/files/2022-03/Benefit%20Cost%20Analysis%20Guidance%202022%20%28Revised%29.pdf" TargetMode="External"/><Relationship Id="rId43" Type="http://schemas.openxmlformats.org/officeDocument/2006/relationships/hyperlink" Target="https://www.transportation.gov/sites/dot.gov/files/2022-03/Benefit%20Cost%20Analysis%20Guidance%202022%20%28Revised%29.pdf" TargetMode="External"/><Relationship Id="rId64" Type="http://schemas.openxmlformats.org/officeDocument/2006/relationships/hyperlink" Target="https://www.transportation.gov/sites/dot.gov/files/2022-03/Benefit%20Cost%20Analysis%20Guidance%202022%20%28Revised%29.pdf" TargetMode="External"/><Relationship Id="rId118" Type="http://schemas.openxmlformats.org/officeDocument/2006/relationships/hyperlink" Target="https://www.transportation.gov/sites/dot.gov/files/2022-03/Benefit%20Cost%20Analysis%20Guidance%202022%20%28Revised%29.pdf" TargetMode="External"/><Relationship Id="rId139" Type="http://schemas.openxmlformats.org/officeDocument/2006/relationships/hyperlink" Target="https://www.transportation.gov/sites/dot.gov/files/2022-03/Benefit%20Cost%20Analysis%20Guidance%202022%20%28Revised%29.pdf" TargetMode="External"/><Relationship Id="rId85" Type="http://schemas.openxmlformats.org/officeDocument/2006/relationships/hyperlink" Target="https://www.transportation.gov/sites/dot.gov/files/2022-03/Benefit%20Cost%20Analysis%20Guidance%202022%20%28Revised%29.pdf" TargetMode="External"/><Relationship Id="rId150" Type="http://schemas.openxmlformats.org/officeDocument/2006/relationships/hyperlink" Target="https://www.transportation.gov/sites/dot.gov/files/2022-03/Benefit%20Cost%20Analysis%20Guidance%202022%20%28Revised%29.pdf" TargetMode="External"/><Relationship Id="rId171" Type="http://schemas.openxmlformats.org/officeDocument/2006/relationships/hyperlink" Target="https://www.transportation.gov/sites/dot.gov/files/2022-03/Benefit%20Cost%20Analysis%20Guidance%202022%20%28Revised%29.pdf" TargetMode="External"/><Relationship Id="rId12" Type="http://schemas.openxmlformats.org/officeDocument/2006/relationships/hyperlink" Target="https://www.transportation.gov/sites/dot.gov/files/2022-03/Benefit%20Cost%20Analysis%20Guidance%202022%20%28Revised%29.pdf" TargetMode="External"/><Relationship Id="rId33" Type="http://schemas.openxmlformats.org/officeDocument/2006/relationships/hyperlink" Target="https://www.transportation.gov/sites/dot.gov/files/2022-03/Benefit%20Cost%20Analysis%20Guidance%202022%20%28Revised%29.pdf" TargetMode="External"/><Relationship Id="rId108" Type="http://schemas.openxmlformats.org/officeDocument/2006/relationships/hyperlink" Target="https://www.transportation.gov/sites/dot.gov/files/2022-03/Benefit%20Cost%20Analysis%20Guidance%202022%20%28Revised%29.pdf" TargetMode="External"/><Relationship Id="rId129" Type="http://schemas.openxmlformats.org/officeDocument/2006/relationships/hyperlink" Target="https://www.transportation.gov/sites/dot.gov/files/2022-03/Benefit%20Cost%20Analysis%20Guidance%202022%20%28Revised%29.pdf" TargetMode="External"/><Relationship Id="rId54" Type="http://schemas.openxmlformats.org/officeDocument/2006/relationships/hyperlink" Target="https://www.transportation.gov/sites/dot.gov/files/2022-03/Benefit%20Cost%20Analysis%20Guidance%202022%20%28Revised%29.pdf" TargetMode="External"/><Relationship Id="rId75" Type="http://schemas.openxmlformats.org/officeDocument/2006/relationships/hyperlink" Target="https://www.transportation.gov/sites/dot.gov/files/2022-03/Benefit%20Cost%20Analysis%20Guidance%202022%20%28Revised%29.pdf" TargetMode="External"/><Relationship Id="rId96" Type="http://schemas.openxmlformats.org/officeDocument/2006/relationships/hyperlink" Target="https://www.transportation.gov/sites/dot.gov/files/2022-03/Benefit%20Cost%20Analysis%20Guidance%202022%20%28Revised%29.pdf" TargetMode="External"/><Relationship Id="rId140" Type="http://schemas.openxmlformats.org/officeDocument/2006/relationships/hyperlink" Target="https://www.transportation.gov/sites/dot.gov/files/2022-03/Benefit%20Cost%20Analysis%20Guidance%202022%20%28Revised%29.pdf" TargetMode="External"/><Relationship Id="rId161" Type="http://schemas.openxmlformats.org/officeDocument/2006/relationships/hyperlink" Target="https://www.transportation.gov/sites/dot.gov/files/2022-03/Benefit%20Cost%20Analysis%20Guidance%202022%20%28Revised%29.pdf" TargetMode="External"/><Relationship Id="rId182" Type="http://schemas.openxmlformats.org/officeDocument/2006/relationships/hyperlink" Target="https://www.transportation.gov/sites/dot.gov/files/2022-03/Benefit%20Cost%20Analysis%20Guidance%202022%20%28Revised%29.pdf" TargetMode="External"/><Relationship Id="rId6" Type="http://schemas.openxmlformats.org/officeDocument/2006/relationships/hyperlink" Target="https://www.transportation.gov/sites/dot.gov/files/2022-03/Benefit%20Cost%20Analysis%20Guidance%202022%20%28Revised%29.pdf" TargetMode="External"/><Relationship Id="rId23" Type="http://schemas.openxmlformats.org/officeDocument/2006/relationships/hyperlink" Target="https://www.transportation.gov/sites/dot.gov/files/2022-03/Benefit%20Cost%20Analysis%20Guidance%202022%20%28Revised%29.pdf" TargetMode="External"/><Relationship Id="rId119" Type="http://schemas.openxmlformats.org/officeDocument/2006/relationships/hyperlink" Target="https://www.transportation.gov/sites/dot.gov/files/2022-03/Benefit%20Cost%20Analysis%20Guidance%202022%20%28Revised%29.pdf" TargetMode="External"/><Relationship Id="rId44" Type="http://schemas.openxmlformats.org/officeDocument/2006/relationships/hyperlink" Target="https://www.transportation.gov/sites/dot.gov/files/2022-03/Benefit%20Cost%20Analysis%20Guidance%202022%20%28Revised%29.pdf" TargetMode="External"/><Relationship Id="rId65" Type="http://schemas.openxmlformats.org/officeDocument/2006/relationships/hyperlink" Target="https://www.transportation.gov/sites/dot.gov/files/2022-03/Benefit%20Cost%20Analysis%20Guidance%202022%20%28Revised%29.pdf" TargetMode="External"/><Relationship Id="rId86" Type="http://schemas.openxmlformats.org/officeDocument/2006/relationships/hyperlink" Target="https://www.transportation.gov/sites/dot.gov/files/2022-03/Benefit%20Cost%20Analysis%20Guidance%202022%20%28Revised%29.pdf" TargetMode="External"/><Relationship Id="rId130" Type="http://schemas.openxmlformats.org/officeDocument/2006/relationships/hyperlink" Target="https://www.transportation.gov/sites/dot.gov/files/2022-03/Benefit%20Cost%20Analysis%20Guidance%202022%20%28Revised%29.pdf" TargetMode="External"/><Relationship Id="rId151" Type="http://schemas.openxmlformats.org/officeDocument/2006/relationships/hyperlink" Target="https://www.transportation.gov/sites/dot.gov/files/2022-03/Benefit%20Cost%20Analysis%20Guidance%202022%20%28Revised%29.pdf" TargetMode="External"/><Relationship Id="rId172" Type="http://schemas.openxmlformats.org/officeDocument/2006/relationships/hyperlink" Target="https://www.transportation.gov/sites/dot.gov/files/2022-03/Benefit%20Cost%20Analysis%20Guidance%202022%20%28Revised%29.pdf" TargetMode="External"/><Relationship Id="rId13" Type="http://schemas.openxmlformats.org/officeDocument/2006/relationships/hyperlink" Target="https://www.transportation.gov/sites/dot.gov/files/2022-03/Benefit%20Cost%20Analysis%20Guidance%202022%20%28Revised%29.pdf" TargetMode="External"/><Relationship Id="rId18" Type="http://schemas.openxmlformats.org/officeDocument/2006/relationships/hyperlink" Target="https://www.transportation.gov/sites/dot.gov/files/2022-03/Benefit%20Cost%20Analysis%20Guidance%202022%20%28Revised%29.pdf" TargetMode="External"/><Relationship Id="rId39" Type="http://schemas.openxmlformats.org/officeDocument/2006/relationships/hyperlink" Target="https://www.transportation.gov/sites/dot.gov/files/2022-03/Benefit%20Cost%20Analysis%20Guidance%202022%20%28Revised%29.pdf" TargetMode="External"/><Relationship Id="rId109" Type="http://schemas.openxmlformats.org/officeDocument/2006/relationships/hyperlink" Target="https://www.transportation.gov/sites/dot.gov/files/2022-03/Benefit%20Cost%20Analysis%20Guidance%202022%20%28Revised%29.pdf" TargetMode="External"/><Relationship Id="rId34" Type="http://schemas.openxmlformats.org/officeDocument/2006/relationships/hyperlink" Target="https://www.transportation.gov/sites/dot.gov/files/2022-03/Benefit%20Cost%20Analysis%20Guidance%202022%20%28Revised%29.pdf" TargetMode="External"/><Relationship Id="rId50" Type="http://schemas.openxmlformats.org/officeDocument/2006/relationships/hyperlink" Target="http://www.cmfclearinghouse.org/" TargetMode="External"/><Relationship Id="rId55" Type="http://schemas.openxmlformats.org/officeDocument/2006/relationships/hyperlink" Target="https://www.transportation.gov/sites/dot.gov/files/2022-03/Benefit%20Cost%20Analysis%20Guidance%202022%20%28Revised%29.pdf" TargetMode="External"/><Relationship Id="rId76" Type="http://schemas.openxmlformats.org/officeDocument/2006/relationships/hyperlink" Target="https://www.transportation.gov/sites/dot.gov/files/2022-03/Benefit%20Cost%20Analysis%20Guidance%202022%20%28Revised%29.pdf" TargetMode="External"/><Relationship Id="rId97" Type="http://schemas.openxmlformats.org/officeDocument/2006/relationships/hyperlink" Target="https://www.transportation.gov/sites/dot.gov/files/2022-03/Benefit%20Cost%20Analysis%20Guidance%202022%20%28Revised%29.pdf" TargetMode="External"/><Relationship Id="rId104" Type="http://schemas.openxmlformats.org/officeDocument/2006/relationships/hyperlink" Target="https://www.transportation.gov/sites/dot.gov/files/2022-03/Benefit%20Cost%20Analysis%20Guidance%202022%20%28Revised%29.pdf" TargetMode="External"/><Relationship Id="rId120" Type="http://schemas.openxmlformats.org/officeDocument/2006/relationships/hyperlink" Target="https://www.transportation.gov/sites/dot.gov/files/2022-03/Benefit%20Cost%20Analysis%20Guidance%202022%20%28Revised%29.pdf" TargetMode="External"/><Relationship Id="rId125" Type="http://schemas.openxmlformats.org/officeDocument/2006/relationships/hyperlink" Target="https://www.transportation.gov/sites/dot.gov/files/2022-03/Benefit%20Cost%20Analysis%20Guidance%202022%20%28Revised%29.pdf" TargetMode="External"/><Relationship Id="rId141" Type="http://schemas.openxmlformats.org/officeDocument/2006/relationships/hyperlink" Target="https://www.transportation.gov/sites/dot.gov/files/2022-03/Benefit%20Cost%20Analysis%20Guidance%202022%20%28Revised%29.pdf" TargetMode="External"/><Relationship Id="rId146" Type="http://schemas.openxmlformats.org/officeDocument/2006/relationships/hyperlink" Target="https://www.transportation.gov/sites/dot.gov/files/2022-03/Benefit%20Cost%20Analysis%20Guidance%202022%20%28Revised%29.pdf" TargetMode="External"/><Relationship Id="rId167" Type="http://schemas.openxmlformats.org/officeDocument/2006/relationships/hyperlink" Target="https://www.transportation.gov/sites/dot.gov/files/2022-03/Benefit%20Cost%20Analysis%20Guidance%202022%20%28Revised%29.pdf" TargetMode="External"/><Relationship Id="rId7" Type="http://schemas.openxmlformats.org/officeDocument/2006/relationships/hyperlink" Target="https://www.transportation.gov/sites/dot.gov/files/2022-03/Benefit%20Cost%20Analysis%20Guidance%202022%20%28Revised%29.pdf" TargetMode="External"/><Relationship Id="rId71" Type="http://schemas.openxmlformats.org/officeDocument/2006/relationships/hyperlink" Target="https://www.transportation.gov/sites/dot.gov/files/2022-03/Benefit%20Cost%20Analysis%20Guidance%202022%20%28Revised%29.pdf" TargetMode="External"/><Relationship Id="rId92" Type="http://schemas.openxmlformats.org/officeDocument/2006/relationships/hyperlink" Target="https://www.transportation.gov/sites/dot.gov/files/2022-03/Benefit%20Cost%20Analysis%20Guidance%202022%20%28Revised%29.pdf" TargetMode="External"/><Relationship Id="rId162" Type="http://schemas.openxmlformats.org/officeDocument/2006/relationships/hyperlink" Target="https://www.transportation.gov/sites/dot.gov/files/2022-03/Benefit%20Cost%20Analysis%20Guidance%202022%20%28Revised%29.pdf" TargetMode="External"/><Relationship Id="rId183" Type="http://schemas.openxmlformats.org/officeDocument/2006/relationships/hyperlink" Target="https://www.transportation.gov/sites/dot.gov/files/2022-03/Benefit%20Cost%20Analysis%20Guidance%202022%20%28Revised%29.pdf" TargetMode="External"/><Relationship Id="rId2" Type="http://schemas.openxmlformats.org/officeDocument/2006/relationships/hyperlink" Target="https://www.transportation.gov/sites/dot.gov/files/2022-03/Benefit%20Cost%20Analysis%20Guidance%202022%20%28Revised%29.pdf" TargetMode="External"/><Relationship Id="rId29" Type="http://schemas.openxmlformats.org/officeDocument/2006/relationships/hyperlink" Target="https://www.transportation.gov/sites/dot.gov/files/2022-03/Benefit%20Cost%20Analysis%20Guidance%202022%20%28Revised%29.pdf" TargetMode="External"/><Relationship Id="rId24" Type="http://schemas.openxmlformats.org/officeDocument/2006/relationships/hyperlink" Target="https://www.transportation.gov/sites/dot.gov/files/2022-03/Benefit%20Cost%20Analysis%20Guidance%202022%20%28Revised%29.pdf" TargetMode="External"/><Relationship Id="rId40" Type="http://schemas.openxmlformats.org/officeDocument/2006/relationships/hyperlink" Target="https://www.transportation.gov/sites/dot.gov/files/2022-03/Benefit%20Cost%20Analysis%20Guidance%202022%20%28Revised%29.pdf" TargetMode="External"/><Relationship Id="rId45" Type="http://schemas.openxmlformats.org/officeDocument/2006/relationships/hyperlink" Target="https://www.transportation.gov/sites/dot.gov/files/2022-03/Benefit%20Cost%20Analysis%20Guidance%202022%20%28Revised%29.pdf" TargetMode="External"/><Relationship Id="rId66" Type="http://schemas.openxmlformats.org/officeDocument/2006/relationships/hyperlink" Target="https://www.transportation.gov/sites/dot.gov/files/2022-03/Benefit%20Cost%20Analysis%20Guidance%202022%20%28Revised%29.pdf" TargetMode="External"/><Relationship Id="rId87" Type="http://schemas.openxmlformats.org/officeDocument/2006/relationships/hyperlink" Target="https://www.transportation.gov/sites/dot.gov/files/2022-03/Benefit%20Cost%20Analysis%20Guidance%202022%20%28Revised%29.pdf" TargetMode="External"/><Relationship Id="rId110" Type="http://schemas.openxmlformats.org/officeDocument/2006/relationships/hyperlink" Target="https://www.transportation.gov/sites/dot.gov/files/2022-03/Benefit%20Cost%20Analysis%20Guidance%202022%20%28Revised%29.pdf" TargetMode="External"/><Relationship Id="rId115" Type="http://schemas.openxmlformats.org/officeDocument/2006/relationships/hyperlink" Target="https://www.transportation.gov/sites/dot.gov/files/2022-03/Benefit%20Cost%20Analysis%20Guidance%202022%20%28Revised%29.pdf" TargetMode="External"/><Relationship Id="rId131" Type="http://schemas.openxmlformats.org/officeDocument/2006/relationships/hyperlink" Target="https://www.transportation.gov/sites/dot.gov/files/2022-03/Benefit%20Cost%20Analysis%20Guidance%202022%20%28Revised%29.pdf" TargetMode="External"/><Relationship Id="rId136" Type="http://schemas.openxmlformats.org/officeDocument/2006/relationships/hyperlink" Target="https://www.transportation.gov/sites/dot.gov/files/2022-03/Benefit%20Cost%20Analysis%20Guidance%202022%20%28Revised%29.pdf" TargetMode="External"/><Relationship Id="rId157" Type="http://schemas.openxmlformats.org/officeDocument/2006/relationships/hyperlink" Target="https://www.transportation.gov/sites/dot.gov/files/2022-03/Benefit%20Cost%20Analysis%20Guidance%202022%20%28Revised%29.pdf" TargetMode="External"/><Relationship Id="rId178" Type="http://schemas.openxmlformats.org/officeDocument/2006/relationships/hyperlink" Target="https://www.transportation.gov/sites/dot.gov/files/2022-03/Benefit%20Cost%20Analysis%20Guidance%202022%20%28Revised%29.pdf" TargetMode="External"/><Relationship Id="rId61" Type="http://schemas.openxmlformats.org/officeDocument/2006/relationships/hyperlink" Target="https://www.transportation.gov/sites/dot.gov/files/2022-03/Benefit%20Cost%20Analysis%20Guidance%202022%20%28Revised%29.pdf" TargetMode="External"/><Relationship Id="rId82" Type="http://schemas.openxmlformats.org/officeDocument/2006/relationships/hyperlink" Target="https://www.transportation.gov/sites/dot.gov/files/2022-03/Benefit%20Cost%20Analysis%20Guidance%202022%20%28Revised%29.pdf" TargetMode="External"/><Relationship Id="rId152" Type="http://schemas.openxmlformats.org/officeDocument/2006/relationships/hyperlink" Target="https://www.transportation.gov/sites/dot.gov/files/2022-03/Benefit%20Cost%20Analysis%20Guidance%202022%20%28Revised%29.pdf" TargetMode="External"/><Relationship Id="rId173" Type="http://schemas.openxmlformats.org/officeDocument/2006/relationships/hyperlink" Target="https://www.transportation.gov/sites/dot.gov/files/2022-03/Benefit%20Cost%20Analysis%20Guidance%202022%20%28Revised%29.pdf" TargetMode="External"/><Relationship Id="rId19" Type="http://schemas.openxmlformats.org/officeDocument/2006/relationships/hyperlink" Target="https://www.transportation.gov/sites/dot.gov/files/2022-03/Benefit%20Cost%20Analysis%20Guidance%202022%20%28Revised%29.pdf" TargetMode="External"/><Relationship Id="rId14" Type="http://schemas.openxmlformats.org/officeDocument/2006/relationships/hyperlink" Target="https://www.transportation.gov/sites/dot.gov/files/2022-03/Benefit%20Cost%20Analysis%20Guidance%202022%20%28Revised%29.pdf" TargetMode="External"/><Relationship Id="rId30" Type="http://schemas.openxmlformats.org/officeDocument/2006/relationships/hyperlink" Target="https://www.transportation.gov/sites/dot.gov/files/2022-03/Benefit%20Cost%20Analysis%20Guidance%202022%20%28Revised%29.pdf" TargetMode="External"/><Relationship Id="rId35" Type="http://schemas.openxmlformats.org/officeDocument/2006/relationships/hyperlink" Target="https://www.transportation.gov/sites/dot.gov/files/2022-03/Benefit%20Cost%20Analysis%20Guidance%202022%20%28Revised%29.pdf" TargetMode="External"/><Relationship Id="rId56" Type="http://schemas.openxmlformats.org/officeDocument/2006/relationships/hyperlink" Target="https://www.transportation.gov/sites/dot.gov/files/2022-03/Benefit%20Cost%20Analysis%20Guidance%202022%20%28Revised%29.pdf" TargetMode="External"/><Relationship Id="rId77" Type="http://schemas.openxmlformats.org/officeDocument/2006/relationships/hyperlink" Target="https://www.transportation.gov/sites/dot.gov/files/2022-03/Benefit%20Cost%20Analysis%20Guidance%202022%20%28Revised%29.pdf" TargetMode="External"/><Relationship Id="rId100" Type="http://schemas.openxmlformats.org/officeDocument/2006/relationships/hyperlink" Target="https://www.transportation.gov/sites/dot.gov/files/2022-03/Benefit%20Cost%20Analysis%20Guidance%202022%20%28Revised%29.pdf" TargetMode="External"/><Relationship Id="rId105" Type="http://schemas.openxmlformats.org/officeDocument/2006/relationships/hyperlink" Target="https://www.transportation.gov/sites/dot.gov/files/2022-03/Benefit%20Cost%20Analysis%20Guidance%202022%20%28Revised%29.pdf" TargetMode="External"/><Relationship Id="rId126" Type="http://schemas.openxmlformats.org/officeDocument/2006/relationships/hyperlink" Target="https://www.transportation.gov/sites/dot.gov/files/2022-03/Benefit%20Cost%20Analysis%20Guidance%202022%20%28Revised%29.pdf" TargetMode="External"/><Relationship Id="rId147" Type="http://schemas.openxmlformats.org/officeDocument/2006/relationships/hyperlink" Target="https://www.transportation.gov/sites/dot.gov/files/2022-03/Benefit%20Cost%20Analysis%20Guidance%202022%20%28Revised%29.pdf" TargetMode="External"/><Relationship Id="rId168" Type="http://schemas.openxmlformats.org/officeDocument/2006/relationships/hyperlink" Target="https://www.transportation.gov/sites/dot.gov/files/2022-03/Benefit%20Cost%20Analysis%20Guidance%202022%20%28Revised%29.pdf" TargetMode="External"/><Relationship Id="rId8" Type="http://schemas.openxmlformats.org/officeDocument/2006/relationships/hyperlink" Target="https://www.transportation.gov/sites/dot.gov/files/2022-03/Benefit%20Cost%20Analysis%20Guidance%202022%20%28Revised%29.pdf" TargetMode="External"/><Relationship Id="rId51" Type="http://schemas.openxmlformats.org/officeDocument/2006/relationships/hyperlink" Target="https://www.transportation.gov/sites/dot.gov/files/2022-03/Benefit%20Cost%20Analysis%20Guidance%202022%20%28Revised%29.pdf" TargetMode="External"/><Relationship Id="rId72" Type="http://schemas.openxmlformats.org/officeDocument/2006/relationships/hyperlink" Target="https://www.transportation.gov/sites/dot.gov/files/2022-03/Benefit%20Cost%20Analysis%20Guidance%202022%20%28Revised%29.pdf" TargetMode="External"/><Relationship Id="rId93" Type="http://schemas.openxmlformats.org/officeDocument/2006/relationships/hyperlink" Target="https://www.transportation.gov/sites/dot.gov/files/2022-03/Benefit%20Cost%20Analysis%20Guidance%202022%20%28Revised%29.pdf" TargetMode="External"/><Relationship Id="rId98" Type="http://schemas.openxmlformats.org/officeDocument/2006/relationships/hyperlink" Target="https://www.transportation.gov/sites/dot.gov/files/2022-03/Benefit%20Cost%20Analysis%20Guidance%202022%20%28Revised%29.pdf" TargetMode="External"/><Relationship Id="rId121" Type="http://schemas.openxmlformats.org/officeDocument/2006/relationships/hyperlink" Target="https://www.transportation.gov/sites/dot.gov/files/2022-03/Benefit%20Cost%20Analysis%20Guidance%202022%20%28Revised%29.pdf" TargetMode="External"/><Relationship Id="rId142" Type="http://schemas.openxmlformats.org/officeDocument/2006/relationships/hyperlink" Target="https://www.transportation.gov/sites/dot.gov/files/2022-03/Benefit%20Cost%20Analysis%20Guidance%202022%20%28Revised%29.pdf" TargetMode="External"/><Relationship Id="rId163" Type="http://schemas.openxmlformats.org/officeDocument/2006/relationships/hyperlink" Target="https://www.transportation.gov/sites/dot.gov/files/2022-03/Benefit%20Cost%20Analysis%20Guidance%202022%20%28Revised%29.pdf" TargetMode="External"/><Relationship Id="rId184" Type="http://schemas.openxmlformats.org/officeDocument/2006/relationships/hyperlink" Target="https://www.transportation.gov/sites/dot.gov/files/2022-03/Benefit%20Cost%20Analysis%20Guidance%202022%20%28Revised%29.pdf" TargetMode="External"/><Relationship Id="rId3" Type="http://schemas.openxmlformats.org/officeDocument/2006/relationships/hyperlink" Target="https://www.transportation.gov/sites/dot.gov/files/2022-03/Benefit%20Cost%20Analysis%20Guidance%202022%20%28Revised%29.pdf" TargetMode="External"/><Relationship Id="rId25" Type="http://schemas.openxmlformats.org/officeDocument/2006/relationships/hyperlink" Target="https://www.transportation.gov/sites/dot.gov/files/2022-03/Benefit%20Cost%20Analysis%20Guidance%202022%20%28Revised%29.pdf" TargetMode="External"/><Relationship Id="rId46" Type="http://schemas.openxmlformats.org/officeDocument/2006/relationships/hyperlink" Target="https://www.nhtsa.gov/research-data/fatality-analysis-reporting-system-fars." TargetMode="External"/><Relationship Id="rId67" Type="http://schemas.openxmlformats.org/officeDocument/2006/relationships/hyperlink" Target="https://www.transportation.gov/sites/dot.gov/files/2022-03/Benefit%20Cost%20Analysis%20Guidance%202022%20%28Revised%29.pdf" TargetMode="External"/><Relationship Id="rId116" Type="http://schemas.openxmlformats.org/officeDocument/2006/relationships/hyperlink" Target="https://www.transportation.gov/sites/dot.gov/files/2022-03/Benefit%20Cost%20Analysis%20Guidance%202022%20%28Revised%29.pdf" TargetMode="External"/><Relationship Id="rId137" Type="http://schemas.openxmlformats.org/officeDocument/2006/relationships/hyperlink" Target="https://www.transportation.gov/sites/dot.gov/files/2022-03/Benefit%20Cost%20Analysis%20Guidance%202022%20%28Revised%29.pdf" TargetMode="External"/><Relationship Id="rId158" Type="http://schemas.openxmlformats.org/officeDocument/2006/relationships/hyperlink" Target="https://www.transportation.gov/sites/dot.gov/files/2022-03/Benefit%20Cost%20Analysis%20Guidance%202022%20%28Revised%29.pdf" TargetMode="External"/><Relationship Id="rId20" Type="http://schemas.openxmlformats.org/officeDocument/2006/relationships/hyperlink" Target="https://www.transportation.gov/sites/dot.gov/files/2022-03/Benefit%20Cost%20Analysis%20Guidance%202022%20%28Revised%29.pdf" TargetMode="External"/><Relationship Id="rId41" Type="http://schemas.openxmlformats.org/officeDocument/2006/relationships/hyperlink" Target="https://www.transportation.gov/sites/dot.gov/files/2022-03/Benefit%20Cost%20Analysis%20Guidance%202022%20%28Revised%29.pdf" TargetMode="External"/><Relationship Id="rId62" Type="http://schemas.openxmlformats.org/officeDocument/2006/relationships/hyperlink" Target="https://www.transportation.gov/sites/dot.gov/files/2022-03/Benefit%20Cost%20Analysis%20Guidance%202022%20%28Revised%29.pdf" TargetMode="External"/><Relationship Id="rId83" Type="http://schemas.openxmlformats.org/officeDocument/2006/relationships/hyperlink" Target="https://www.transportation.gov/sites/dot.gov/files/2022-03/Benefit%20Cost%20Analysis%20Guidance%202022%20%28Revised%29.pdf" TargetMode="External"/><Relationship Id="rId88" Type="http://schemas.openxmlformats.org/officeDocument/2006/relationships/hyperlink" Target="https://www.transportation.gov/sites/dot.gov/files/2022-03/Benefit%20Cost%20Analysis%20Guidance%202022%20%28Revised%29.pdf" TargetMode="External"/><Relationship Id="rId111" Type="http://schemas.openxmlformats.org/officeDocument/2006/relationships/hyperlink" Target="https://www.transportation.gov/sites/dot.gov/files/2022-03/Benefit%20Cost%20Analysis%20Guidance%202022%20%28Revised%29.pdf" TargetMode="External"/><Relationship Id="rId132" Type="http://schemas.openxmlformats.org/officeDocument/2006/relationships/hyperlink" Target="https://www.transportation.gov/sites/dot.gov/files/2022-03/Benefit%20Cost%20Analysis%20Guidance%202022%20%28Revised%29.pdf" TargetMode="External"/><Relationship Id="rId153" Type="http://schemas.openxmlformats.org/officeDocument/2006/relationships/hyperlink" Target="https://www.transportation.gov/sites/dot.gov/files/2022-03/Benefit%20Cost%20Analysis%20Guidance%202022%20%28Revised%29.pdf" TargetMode="External"/><Relationship Id="rId174" Type="http://schemas.openxmlformats.org/officeDocument/2006/relationships/hyperlink" Target="https://www.transportation.gov/sites/dot.gov/files/2022-03/Benefit%20Cost%20Analysis%20Guidance%202022%20%28Revised%29.pdf" TargetMode="External"/><Relationship Id="rId179" Type="http://schemas.openxmlformats.org/officeDocument/2006/relationships/hyperlink" Target="https://www.transportation.gov/sites/dot.gov/files/2022-03/Benefit%20Cost%20Analysis%20Guidance%202022%20%28Revised%29.pdf" TargetMode="External"/><Relationship Id="rId15" Type="http://schemas.openxmlformats.org/officeDocument/2006/relationships/hyperlink" Target="https://www.transportation.gov/sites/dot.gov/files/2022-03/Benefit%20Cost%20Analysis%20Guidance%202022%20%28Revised%29.pdf" TargetMode="External"/><Relationship Id="rId36" Type="http://schemas.openxmlformats.org/officeDocument/2006/relationships/hyperlink" Target="https://www.transportation.gov/sites/dot.gov/files/2022-03/Benefit%20Cost%20Analysis%20Guidance%202022%20%28Revised%29.pdf" TargetMode="External"/><Relationship Id="rId57" Type="http://schemas.openxmlformats.org/officeDocument/2006/relationships/hyperlink" Target="https://www.transportation.gov/sites/dot.gov/files/2022-03/Benefit%20Cost%20Analysis%20Guidance%202022%20%28Revised%29.pdf" TargetMode="External"/><Relationship Id="rId106" Type="http://schemas.openxmlformats.org/officeDocument/2006/relationships/hyperlink" Target="https://www.transportation.gov/sites/dot.gov/files/2022-03/Benefit%20Cost%20Analysis%20Guidance%202022%20%28Revised%29.pdf" TargetMode="External"/><Relationship Id="rId127" Type="http://schemas.openxmlformats.org/officeDocument/2006/relationships/hyperlink" Target="https://www.transportation.gov/sites/dot.gov/files/2022-03/Benefit%20Cost%20Analysis%20Guidance%202022%20%28Revised%29.pdf" TargetMode="External"/><Relationship Id="rId10" Type="http://schemas.openxmlformats.org/officeDocument/2006/relationships/hyperlink" Target="https://www.transportation.gov/sites/dot.gov/files/2022-03/Benefit%20Cost%20Analysis%20Guidance%202022%20%28Revised%29.pdf" TargetMode="External"/><Relationship Id="rId31" Type="http://schemas.openxmlformats.org/officeDocument/2006/relationships/hyperlink" Target="https://www.transportation.gov/sites/dot.gov/files/2022-03/Benefit%20Cost%20Analysis%20Guidance%202022%20%28Revised%29.pdf" TargetMode="External"/><Relationship Id="rId52" Type="http://schemas.openxmlformats.org/officeDocument/2006/relationships/hyperlink" Target="https://www.transportation.gov/sites/dot.gov/files/2022-03/Benefit%20Cost%20Analysis%20Guidance%202022%20%28Revised%29.pdf" TargetMode="External"/><Relationship Id="rId73" Type="http://schemas.openxmlformats.org/officeDocument/2006/relationships/hyperlink" Target="https://www.transportation.gov/sites/dot.gov/files/2022-03/Benefit%20Cost%20Analysis%20Guidance%202022%20%28Revised%29.pdf" TargetMode="External"/><Relationship Id="rId78" Type="http://schemas.openxmlformats.org/officeDocument/2006/relationships/hyperlink" Target="https://www.transportation.gov/sites/dot.gov/files/2022-03/Benefit%20Cost%20Analysis%20Guidance%202022%20%28Revised%29.pdf" TargetMode="External"/><Relationship Id="rId94" Type="http://schemas.openxmlformats.org/officeDocument/2006/relationships/hyperlink" Target="https://www.transportation.gov/sites/dot.gov/files/2022-03/Benefit%20Cost%20Analysis%20Guidance%202022%20%28Revised%29.pdf" TargetMode="External"/><Relationship Id="rId99" Type="http://schemas.openxmlformats.org/officeDocument/2006/relationships/hyperlink" Target="https://www.transportation.gov/sites/dot.gov/files/2022-03/Benefit%20Cost%20Analysis%20Guidance%202022%20%28Revised%29.pdf" TargetMode="External"/><Relationship Id="rId101" Type="http://schemas.openxmlformats.org/officeDocument/2006/relationships/hyperlink" Target="https://www.transportation.gov/sites/dot.gov/files/2022-03/Benefit%20Cost%20Analysis%20Guidance%202022%20%28Revised%29.pdf" TargetMode="External"/><Relationship Id="rId122" Type="http://schemas.openxmlformats.org/officeDocument/2006/relationships/hyperlink" Target="https://www.transportation.gov/sites/dot.gov/files/2022-03/Benefit%20Cost%20Analysis%20Guidance%202022%20%28Revised%29.pdf" TargetMode="External"/><Relationship Id="rId143" Type="http://schemas.openxmlformats.org/officeDocument/2006/relationships/hyperlink" Target="https://www.transportation.gov/sites/dot.gov/files/2022-03/Benefit%20Cost%20Analysis%20Guidance%202022%20%28Revised%29.pdf" TargetMode="External"/><Relationship Id="rId148" Type="http://schemas.openxmlformats.org/officeDocument/2006/relationships/hyperlink" Target="https://www.transportation.gov/sites/dot.gov/files/2022-03/Benefit%20Cost%20Analysis%20Guidance%202022%20%28Revised%29.pdf" TargetMode="External"/><Relationship Id="rId164" Type="http://schemas.openxmlformats.org/officeDocument/2006/relationships/hyperlink" Target="https://www.transportation.gov/sites/dot.gov/files/2022-03/Benefit%20Cost%20Analysis%20Guidance%202022%20%28Revised%29.pdf" TargetMode="External"/><Relationship Id="rId169" Type="http://schemas.openxmlformats.org/officeDocument/2006/relationships/hyperlink" Target="https://www.transportation.gov/sites/dot.gov/files/2022-03/Benefit%20Cost%20Analysis%20Guidance%202022%20%28Revised%29.pdf" TargetMode="External"/><Relationship Id="rId185" Type="http://schemas.openxmlformats.org/officeDocument/2006/relationships/hyperlink" Target="https://www.transportation.gov/sites/dot.gov/files/2022-03/Benefit%20Cost%20Analysis%20Guidance%202022%20%28Revised%29.pdf" TargetMode="External"/><Relationship Id="rId4" Type="http://schemas.openxmlformats.org/officeDocument/2006/relationships/hyperlink" Target="https://www.transportation.gov/sites/dot.gov/files/2022-03/Benefit%20Cost%20Analysis%20Guidance%202022%20%28Revised%29.pdf" TargetMode="External"/><Relationship Id="rId9" Type="http://schemas.openxmlformats.org/officeDocument/2006/relationships/hyperlink" Target="https://www.transportation.gov/sites/dot.gov/files/2022-03/Benefit%20Cost%20Analysis%20Guidance%202022%20%28Revised%29.pdf" TargetMode="External"/><Relationship Id="rId180" Type="http://schemas.openxmlformats.org/officeDocument/2006/relationships/hyperlink" Target="https://www.transportation.gov/sites/dot.gov/files/2022-03/Benefit%20Cost%20Analysis%20Guidance%202022%20%28Revised%29.pdf" TargetMode="External"/><Relationship Id="rId26" Type="http://schemas.openxmlformats.org/officeDocument/2006/relationships/hyperlink" Target="https://www.transportation.gov/sites/dot.gov/files/2022-03/Benefit%20Cost%20Analysis%20Guidance%202022%20%28Revised%29.pdf" TargetMode="External"/><Relationship Id="rId47" Type="http://schemas.openxmlformats.org/officeDocument/2006/relationships/hyperlink" Target="http://www.cmfclearinghouse.org/" TargetMode="External"/><Relationship Id="rId68" Type="http://schemas.openxmlformats.org/officeDocument/2006/relationships/hyperlink" Target="https://www.transportation.gov/sites/dot.gov/files/2022-03/Benefit%20Cost%20Analysis%20Guidance%202022%20%28Revised%29.pdf" TargetMode="External"/><Relationship Id="rId89" Type="http://schemas.openxmlformats.org/officeDocument/2006/relationships/hyperlink" Target="https://www.transportation.gov/sites/dot.gov/files/2022-03/Benefit%20Cost%20Analysis%20Guidance%202022%20%28Revised%29.pdf" TargetMode="External"/><Relationship Id="rId112" Type="http://schemas.openxmlformats.org/officeDocument/2006/relationships/hyperlink" Target="https://www.transportation.gov/sites/dot.gov/files/2022-03/Benefit%20Cost%20Analysis%20Guidance%202022%20%28Revised%29.pdf" TargetMode="External"/><Relationship Id="rId133" Type="http://schemas.openxmlformats.org/officeDocument/2006/relationships/hyperlink" Target="https://www.transportation.gov/sites/dot.gov/files/2022-03/Benefit%20Cost%20Analysis%20Guidance%202022%20%28Revised%29.pdf" TargetMode="External"/><Relationship Id="rId154" Type="http://schemas.openxmlformats.org/officeDocument/2006/relationships/hyperlink" Target="https://www.transportation.gov/sites/dot.gov/files/2022-03/Benefit%20Cost%20Analysis%20Guidance%202022%20%28Revised%29.pdf" TargetMode="External"/><Relationship Id="rId175" Type="http://schemas.openxmlformats.org/officeDocument/2006/relationships/hyperlink" Target="https://www.transportation.gov/sites/dot.gov/files/2022-03/Benefit%20Cost%20Analysis%20Guidance%202022%20%28Revised%29.pdf" TargetMode="External"/><Relationship Id="rId16" Type="http://schemas.openxmlformats.org/officeDocument/2006/relationships/hyperlink" Target="https://www.transportation.gov/sites/dot.gov/files/2022-03/Benefit%20Cost%20Analysis%20Guidance%202022%20%28Revised%29.pdf" TargetMode="External"/><Relationship Id="rId37" Type="http://schemas.openxmlformats.org/officeDocument/2006/relationships/hyperlink" Target="https://www.transportation.gov/sites/dot.gov/files/2022-03/Benefit%20Cost%20Analysis%20Guidance%202022%20%28Revised%29.pdf" TargetMode="External"/><Relationship Id="rId58" Type="http://schemas.openxmlformats.org/officeDocument/2006/relationships/hyperlink" Target="https://www.transportation.gov/sites/dot.gov/files/2022-03/Benefit%20Cost%20Analysis%20Guidance%202022%20%28Revised%29.pdf" TargetMode="External"/><Relationship Id="rId79" Type="http://schemas.openxmlformats.org/officeDocument/2006/relationships/hyperlink" Target="https://www.transportation.gov/sites/dot.gov/files/2022-03/Benefit%20Cost%20Analysis%20Guidance%202022%20%28Revised%29.pdf" TargetMode="External"/><Relationship Id="rId102" Type="http://schemas.openxmlformats.org/officeDocument/2006/relationships/hyperlink" Target="https://www.transportation.gov/sites/dot.gov/files/2022-03/Benefit%20Cost%20Analysis%20Guidance%202022%20%28Revised%29.pdf" TargetMode="External"/><Relationship Id="rId123" Type="http://schemas.openxmlformats.org/officeDocument/2006/relationships/hyperlink" Target="https://www.transportation.gov/sites/dot.gov/files/2022-03/Benefit%20Cost%20Analysis%20Guidance%202022%20%28Revised%29.pdf" TargetMode="External"/><Relationship Id="rId144" Type="http://schemas.openxmlformats.org/officeDocument/2006/relationships/hyperlink" Target="https://www.transportation.gov/sites/dot.gov/files/2022-03/Benefit%20Cost%20Analysis%20Guidance%202022%20%28Revised%29.pdf" TargetMode="External"/><Relationship Id="rId90" Type="http://schemas.openxmlformats.org/officeDocument/2006/relationships/hyperlink" Target="https://www.transportation.gov/sites/dot.gov/files/2022-03/Benefit%20Cost%20Analysis%20Guidance%202022%20%28Revised%29.pdf" TargetMode="External"/><Relationship Id="rId165" Type="http://schemas.openxmlformats.org/officeDocument/2006/relationships/hyperlink" Target="https://www.transportation.gov/sites/dot.gov/files/2022-03/Benefit%20Cost%20Analysis%20Guidance%202022%20%28Revised%29.pdf" TargetMode="External"/><Relationship Id="rId186" Type="http://schemas.openxmlformats.org/officeDocument/2006/relationships/printerSettings" Target="../printerSettings/printerSettings7.bin"/><Relationship Id="rId27" Type="http://schemas.openxmlformats.org/officeDocument/2006/relationships/hyperlink" Target="https://www.transportation.gov/sites/dot.gov/files/2022-03/Benefit%20Cost%20Analysis%20Guidance%202022%20%28Revised%29.pdf" TargetMode="External"/><Relationship Id="rId48" Type="http://schemas.openxmlformats.org/officeDocument/2006/relationships/hyperlink" Target="http://www.cmfclearinghouse.org/" TargetMode="External"/><Relationship Id="rId69" Type="http://schemas.openxmlformats.org/officeDocument/2006/relationships/hyperlink" Target="https://www.transportation.gov/sites/dot.gov/files/2022-03/Benefit%20Cost%20Analysis%20Guidance%202022%20%28Revised%29.pdf" TargetMode="External"/><Relationship Id="rId113" Type="http://schemas.openxmlformats.org/officeDocument/2006/relationships/hyperlink" Target="https://www.transportation.gov/sites/dot.gov/files/2022-03/Benefit%20Cost%20Analysis%20Guidance%202022%20%28Revised%29.pdf" TargetMode="External"/><Relationship Id="rId134" Type="http://schemas.openxmlformats.org/officeDocument/2006/relationships/hyperlink" Target="https://www.transportation.gov/sites/dot.gov/files/2022-03/Benefit%20Cost%20Analysis%20Guidance%202022%20%28Revised%29.pdf" TargetMode="External"/><Relationship Id="rId80" Type="http://schemas.openxmlformats.org/officeDocument/2006/relationships/hyperlink" Target="https://www.transportation.gov/sites/dot.gov/files/2022-03/Benefit%20Cost%20Analysis%20Guidance%202022%20%28Revised%29.pdf" TargetMode="External"/><Relationship Id="rId155" Type="http://schemas.openxmlformats.org/officeDocument/2006/relationships/hyperlink" Target="https://www.transportation.gov/sites/dot.gov/files/2022-03/Benefit%20Cost%20Analysis%20Guidance%202022%20%28Revised%29.pdf" TargetMode="External"/><Relationship Id="rId176" Type="http://schemas.openxmlformats.org/officeDocument/2006/relationships/hyperlink" Target="https://www.transportation.gov/sites/dot.gov/files/2022-03/Benefit%20Cost%20Analysis%20Guidance%202022%20%28Revised%29.pdf" TargetMode="External"/><Relationship Id="rId17" Type="http://schemas.openxmlformats.org/officeDocument/2006/relationships/hyperlink" Target="https://www.transportation.gov/sites/dot.gov/files/2022-03/Benefit%20Cost%20Analysis%20Guidance%202022%20%28Revised%29.pdf" TargetMode="External"/><Relationship Id="rId38" Type="http://schemas.openxmlformats.org/officeDocument/2006/relationships/hyperlink" Target="https://www.transportation.gov/sites/dot.gov/files/2022-03/Benefit%20Cost%20Analysis%20Guidance%202022%20%28Revised%29.pdf" TargetMode="External"/><Relationship Id="rId59" Type="http://schemas.openxmlformats.org/officeDocument/2006/relationships/hyperlink" Target="https://www.transportation.gov/sites/dot.gov/files/2022-03/Benefit%20Cost%20Analysis%20Guidance%202022%20%28Revised%29.pdf" TargetMode="External"/><Relationship Id="rId103" Type="http://schemas.openxmlformats.org/officeDocument/2006/relationships/hyperlink" Target="https://www.transportation.gov/sites/dot.gov/files/2022-03/Benefit%20Cost%20Analysis%20Guidance%202022%20%28Revised%29.pdf" TargetMode="External"/><Relationship Id="rId124" Type="http://schemas.openxmlformats.org/officeDocument/2006/relationships/hyperlink" Target="https://www.transportation.gov/sites/dot.gov/files/2022-03/Benefit%20Cost%20Analysis%20Guidance%202022%20%28Revised%29.pdf" TargetMode="External"/><Relationship Id="rId70" Type="http://schemas.openxmlformats.org/officeDocument/2006/relationships/hyperlink" Target="https://www.transportation.gov/sites/dot.gov/files/2022-03/Benefit%20Cost%20Analysis%20Guidance%202022%20%28Revised%29.pdf" TargetMode="External"/><Relationship Id="rId91" Type="http://schemas.openxmlformats.org/officeDocument/2006/relationships/hyperlink" Target="https://www.transportation.gov/sites/dot.gov/files/2022-03/Benefit%20Cost%20Analysis%20Guidance%202022%20%28Revised%29.pdf" TargetMode="External"/><Relationship Id="rId145" Type="http://schemas.openxmlformats.org/officeDocument/2006/relationships/hyperlink" Target="https://www.transportation.gov/sites/dot.gov/files/2022-03/Benefit%20Cost%20Analysis%20Guidance%202022%20%28Revised%29.pdf" TargetMode="External"/><Relationship Id="rId166" Type="http://schemas.openxmlformats.org/officeDocument/2006/relationships/hyperlink" Target="https://www.transportation.gov/sites/dot.gov/files/2022-03/Benefit%20Cost%20Analysis%20Guidance%202022%20%28Revised%29.pdf" TargetMode="External"/><Relationship Id="rId1" Type="http://schemas.openxmlformats.org/officeDocument/2006/relationships/hyperlink" Target="https://www.transportation.gov/sites/dot.gov/files/2022-03/Benefit%20Cost%20Analysis%20Guidance%202022%20%28Revised%29.pdf" TargetMode="External"/><Relationship Id="rId28" Type="http://schemas.openxmlformats.org/officeDocument/2006/relationships/hyperlink" Target="https://www.transportation.gov/sites/dot.gov/files/2022-03/Benefit%20Cost%20Analysis%20Guidance%202022%20%28Revised%29.pdf" TargetMode="External"/><Relationship Id="rId49" Type="http://schemas.openxmlformats.org/officeDocument/2006/relationships/hyperlink" Target="http://www.cmfclearinghouse.org/" TargetMode="External"/><Relationship Id="rId114" Type="http://schemas.openxmlformats.org/officeDocument/2006/relationships/hyperlink" Target="https://www.transportation.gov/sites/dot.gov/files/2022-03/Benefit%20Cost%20Analysis%20Guidance%202022%20%28Revised%29.pdf" TargetMode="External"/><Relationship Id="rId60" Type="http://schemas.openxmlformats.org/officeDocument/2006/relationships/hyperlink" Target="https://www.transportation.gov/sites/dot.gov/files/2022-03/Benefit%20Cost%20Analysis%20Guidance%202022%20%28Revised%29.pdf" TargetMode="External"/><Relationship Id="rId81" Type="http://schemas.openxmlformats.org/officeDocument/2006/relationships/hyperlink" Target="https://www.transportation.gov/sites/dot.gov/files/2022-03/Benefit%20Cost%20Analysis%20Guidance%202022%20%28Revised%29.pdf" TargetMode="External"/><Relationship Id="rId135" Type="http://schemas.openxmlformats.org/officeDocument/2006/relationships/hyperlink" Target="https://www.transportation.gov/sites/dot.gov/files/2022-03/Benefit%20Cost%20Analysis%20Guidance%202022%20%28Revised%29.pdf" TargetMode="External"/><Relationship Id="rId156" Type="http://schemas.openxmlformats.org/officeDocument/2006/relationships/hyperlink" Target="https://www.transportation.gov/sites/dot.gov/files/2022-03/Benefit%20Cost%20Analysis%20Guidance%202022%20%28Revised%29.pdf" TargetMode="External"/><Relationship Id="rId177" Type="http://schemas.openxmlformats.org/officeDocument/2006/relationships/hyperlink" Target="https://www.transportation.gov/sites/dot.gov/files/2022-03/Benefit%20Cost%20Analysis%20Guidance%202022%20%28Revised%29.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escholarship.org/uc/item/9678b4xs"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hyperlink" Target="https://dot.ca.gov/programs/transportation-planning/economics-data-management/transportation-economics/vehicle-operation-cost-paramet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166E5-5621-4D21-8110-2D6C7C4665C5}">
  <sheetPr>
    <tabColor theme="3" tint="0.39997558519241921"/>
    <pageSetUpPr fitToPage="1"/>
  </sheetPr>
  <dimension ref="A1:R95"/>
  <sheetViews>
    <sheetView zoomScale="90" zoomScaleNormal="90" workbookViewId="0">
      <selection activeCell="S1" sqref="S1:V1048576"/>
    </sheetView>
  </sheetViews>
  <sheetFormatPr defaultRowHeight="15" x14ac:dyDescent="0.25"/>
  <cols>
    <col min="1" max="1" width="27" customWidth="1"/>
    <col min="2" max="2" width="16.140625" style="34" bestFit="1" customWidth="1"/>
    <col min="3" max="3" width="15.28515625" bestFit="1" customWidth="1"/>
    <col min="4" max="4" width="27.28515625" bestFit="1" customWidth="1"/>
    <col min="5" max="5" width="17.7109375" style="115" bestFit="1" customWidth="1"/>
    <col min="6" max="6" width="20.7109375" style="115" bestFit="1" customWidth="1"/>
    <col min="7" max="7" width="14.5703125" style="115" bestFit="1" customWidth="1"/>
    <col min="8" max="8" width="20.28515625" style="115" bestFit="1" customWidth="1"/>
    <col min="9" max="9" width="18.7109375" style="115" bestFit="1" customWidth="1"/>
    <col min="10" max="10" width="15.85546875" style="115" bestFit="1" customWidth="1"/>
    <col min="11" max="11" width="15.42578125" bestFit="1" customWidth="1"/>
    <col min="12" max="12" width="16.7109375" bestFit="1" customWidth="1"/>
    <col min="13" max="13" width="18.7109375" bestFit="1" customWidth="1"/>
    <col min="14" max="15" width="13.7109375" style="34" customWidth="1"/>
    <col min="16" max="16" width="12" bestFit="1" customWidth="1"/>
    <col min="17" max="18" width="18.7109375" bestFit="1" customWidth="1"/>
  </cols>
  <sheetData>
    <row r="1" spans="1:18" s="34" customFormat="1" ht="18.75" x14ac:dyDescent="0.3">
      <c r="A1" s="526" t="s">
        <v>43</v>
      </c>
      <c r="B1" s="527"/>
      <c r="C1" s="527"/>
      <c r="D1" s="527"/>
      <c r="E1" s="114"/>
      <c r="F1" s="114"/>
      <c r="G1" s="114"/>
      <c r="H1" s="114"/>
      <c r="I1" s="114"/>
      <c r="J1" s="114"/>
      <c r="K1" s="38"/>
      <c r="L1" s="38"/>
      <c r="M1" s="38"/>
      <c r="N1" s="38"/>
      <c r="O1" s="38"/>
      <c r="P1" s="38"/>
      <c r="Q1" s="38"/>
      <c r="R1" s="38"/>
    </row>
    <row r="2" spans="1:18" s="34" customFormat="1" ht="18.75" x14ac:dyDescent="0.3">
      <c r="A2" s="526" t="s">
        <v>406</v>
      </c>
      <c r="B2" s="527"/>
      <c r="C2" s="527"/>
      <c r="D2" s="527"/>
      <c r="E2" s="114"/>
      <c r="F2" s="114"/>
      <c r="G2" s="114"/>
      <c r="H2" s="114"/>
      <c r="I2" s="114"/>
      <c r="J2" s="114"/>
      <c r="K2" s="38"/>
      <c r="L2" s="38"/>
      <c r="M2" s="38"/>
      <c r="N2" s="38"/>
      <c r="O2" s="38"/>
      <c r="P2" s="38"/>
      <c r="Q2" s="38"/>
      <c r="R2" s="38"/>
    </row>
    <row r="3" spans="1:18" ht="18.75" x14ac:dyDescent="0.3">
      <c r="A3" s="526" t="s">
        <v>30</v>
      </c>
      <c r="B3" s="527"/>
      <c r="C3" s="527"/>
      <c r="D3" s="527"/>
      <c r="E3" s="114"/>
      <c r="F3" s="114"/>
      <c r="G3" s="114"/>
      <c r="H3" s="114"/>
      <c r="I3" s="114"/>
      <c r="J3" s="114"/>
      <c r="K3" s="38"/>
      <c r="L3" s="38"/>
      <c r="M3" s="38"/>
      <c r="N3" s="38"/>
      <c r="O3" s="38"/>
      <c r="P3" s="38"/>
      <c r="Q3" s="38"/>
      <c r="R3" s="38"/>
    </row>
    <row r="4" spans="1:18" ht="15.75" thickBot="1" x14ac:dyDescent="0.3"/>
    <row r="5" spans="1:18" x14ac:dyDescent="0.25">
      <c r="A5" s="530" t="s">
        <v>0</v>
      </c>
      <c r="B5" s="528" t="s">
        <v>405</v>
      </c>
      <c r="C5" s="529"/>
      <c r="D5" s="34"/>
      <c r="K5" s="34"/>
      <c r="L5" s="34"/>
      <c r="M5" s="34"/>
      <c r="P5" s="34"/>
      <c r="Q5" s="34"/>
      <c r="R5" s="34"/>
    </row>
    <row r="6" spans="1:18" ht="15.75" thickBot="1" x14ac:dyDescent="0.3">
      <c r="A6" s="531"/>
      <c r="B6" s="77" t="s">
        <v>42</v>
      </c>
      <c r="C6" s="7" t="s">
        <v>3</v>
      </c>
      <c r="D6" s="34"/>
      <c r="E6" s="534"/>
      <c r="F6" s="534"/>
      <c r="K6" s="34"/>
      <c r="L6" s="34"/>
      <c r="M6" s="34"/>
      <c r="P6" s="34"/>
      <c r="Q6" s="34"/>
      <c r="R6" s="34"/>
    </row>
    <row r="7" spans="1:18" x14ac:dyDescent="0.25">
      <c r="A7" s="100" t="s">
        <v>413</v>
      </c>
      <c r="B7" s="97">
        <f>SUM('Project Benefit Calculations'!BL10:BL40)</f>
        <v>2366744.8120300784</v>
      </c>
      <c r="C7" s="96">
        <f>SUM('Project Benefit Calculations'!BM10:BM40)</f>
        <v>802601.59695837728</v>
      </c>
      <c r="E7" s="116"/>
      <c r="F7" s="116"/>
    </row>
    <row r="8" spans="1:18" x14ac:dyDescent="0.25">
      <c r="A8" s="101" t="s">
        <v>414</v>
      </c>
      <c r="B8" s="98">
        <f>SUM('Project Benefit Calculations'!BN10:BN40)</f>
        <v>83782766.345864758</v>
      </c>
      <c r="C8" s="94">
        <f>SUM('Project Benefit Calculations'!BO10:BO40)</f>
        <v>28412096.532326546</v>
      </c>
      <c r="E8" s="116"/>
      <c r="F8" s="116"/>
    </row>
    <row r="9" spans="1:18" x14ac:dyDescent="0.25">
      <c r="A9" s="102" t="s">
        <v>415</v>
      </c>
      <c r="B9" s="98">
        <f>SUM('Project Benefit Calculations'!BP10:BP40)</f>
        <v>74670798.81954895</v>
      </c>
      <c r="C9" s="94">
        <f>SUM('Project Benefit Calculations'!BQ10:BQ40)</f>
        <v>25322080.384036798</v>
      </c>
      <c r="E9" s="116"/>
      <c r="F9" s="116"/>
    </row>
    <row r="10" spans="1:18" x14ac:dyDescent="0.25">
      <c r="A10" s="103" t="s">
        <v>420</v>
      </c>
      <c r="B10" s="98">
        <f>SUM('Project Benefit Calculations'!BR10:BR40)+SUM('Project Benefit Calculations'!BT10:BT40)+SUM('Project Benefit Calculations'!BV10:BV40)+SUM('Project Benefit Calculations'!BX10:BX40)</f>
        <v>12193551.495226201</v>
      </c>
      <c r="C10" s="94">
        <f>SUM('Project Benefit Calculations'!BS10:BS40)+SUM('Project Benefit Calculations'!BU10:BU40)+SUM('Project Benefit Calculations'!BW10:BW40)+SUM('Project Benefit Calculations'!BY10:BY40)</f>
        <v>6237618.4299128922</v>
      </c>
      <c r="E10" s="116"/>
      <c r="F10" s="116"/>
    </row>
    <row r="11" spans="1:18" s="510" customFormat="1" x14ac:dyDescent="0.25">
      <c r="A11" s="521" t="s">
        <v>498</v>
      </c>
      <c r="B11" s="524">
        <f>SUM('Project Benefit Calculations'!CB11:CB40,'Project Benefit Calculations'!CD10:CD40)</f>
        <v>30775931.232028842</v>
      </c>
      <c r="C11" s="525">
        <f>SUM('Project Benefit Calculations'!CC11:CC40,'Project Benefit Calculations'!CE10:CE40)</f>
        <v>8902593.7098412104</v>
      </c>
      <c r="E11" s="523"/>
      <c r="F11" s="523"/>
      <c r="G11" s="522"/>
      <c r="H11" s="522"/>
      <c r="I11" s="522"/>
      <c r="J11" s="522"/>
    </row>
    <row r="12" spans="1:18" s="510" customFormat="1" x14ac:dyDescent="0.25">
      <c r="A12" s="521" t="s">
        <v>495</v>
      </c>
      <c r="B12" s="524">
        <f>SUM('Project Benefit Calculations'!CF10:CF40)</f>
        <v>2861915.4793404019</v>
      </c>
      <c r="C12" s="525">
        <f>SUM('Project Benefit Calculations'!CG10:CG40)</f>
        <v>826064.63383101183</v>
      </c>
      <c r="E12" s="523"/>
      <c r="F12" s="523"/>
      <c r="G12" s="522"/>
      <c r="H12" s="522"/>
      <c r="I12" s="522"/>
      <c r="J12" s="522"/>
    </row>
    <row r="13" spans="1:18" x14ac:dyDescent="0.25">
      <c r="A13" s="103" t="s">
        <v>430</v>
      </c>
      <c r="B13" s="99">
        <f>SUM('Project Benefit Calculations'!BZ10:BZ40)</f>
        <v>171478.08169961267</v>
      </c>
      <c r="C13" s="95">
        <f>SUM('Project Benefit Calculations'!CA10:CA40)</f>
        <v>58189.97758217618</v>
      </c>
      <c r="E13" s="117"/>
      <c r="F13" s="118"/>
    </row>
    <row r="14" spans="1:18" x14ac:dyDescent="0.25">
      <c r="A14" s="107" t="s">
        <v>4</v>
      </c>
      <c r="B14" s="108">
        <f>SUM(B7:B13)</f>
        <v>206823186.26573884</v>
      </c>
      <c r="C14" s="109">
        <f>SUM(C7:C13)</f>
        <v>70561245.26448901</v>
      </c>
      <c r="E14" s="119"/>
      <c r="F14" s="119"/>
    </row>
    <row r="15" spans="1:18" x14ac:dyDescent="0.25">
      <c r="A15" s="103" t="s">
        <v>6</v>
      </c>
      <c r="B15" s="99">
        <f>-'Project Cost Calculations'!H48</f>
        <v>-58511880</v>
      </c>
      <c r="C15" s="95">
        <f>-'Project Cost Calculations'!I48</f>
        <v>-27928370.795388617</v>
      </c>
      <c r="E15" s="117"/>
      <c r="F15" s="118"/>
    </row>
    <row r="16" spans="1:18" ht="15.75" thickBot="1" x14ac:dyDescent="0.3">
      <c r="A16" s="104" t="s">
        <v>41</v>
      </c>
      <c r="B16" s="105">
        <f>B14+B15</f>
        <v>148311306.26573884</v>
      </c>
      <c r="C16" s="106">
        <f>C14+C15</f>
        <v>42632874.469100393</v>
      </c>
      <c r="E16" s="117"/>
      <c r="F16" s="117"/>
    </row>
    <row r="17" spans="1:7" ht="15.75" thickBot="1" x14ac:dyDescent="0.3">
      <c r="A17" s="110" t="s">
        <v>7</v>
      </c>
      <c r="B17" s="111">
        <f>ABS(B14/B15)</f>
        <v>3.5347212611479728</v>
      </c>
      <c r="C17" s="112">
        <f>ABS(C14/C15)</f>
        <v>2.5265077501813926</v>
      </c>
      <c r="E17" s="120"/>
      <c r="F17" s="120"/>
    </row>
    <row r="20" spans="1:7" x14ac:dyDescent="0.25">
      <c r="D20" s="34"/>
      <c r="E20" s="532"/>
      <c r="F20" s="533"/>
      <c r="G20" s="533"/>
    </row>
    <row r="21" spans="1:7" x14ac:dyDescent="0.25">
      <c r="D21" s="11"/>
      <c r="E21" s="532"/>
      <c r="F21" s="121"/>
      <c r="G21" s="122"/>
    </row>
    <row r="22" spans="1:7" x14ac:dyDescent="0.25">
      <c r="D22" s="11"/>
      <c r="E22" s="123"/>
      <c r="F22" s="116"/>
      <c r="G22" s="116"/>
    </row>
    <row r="23" spans="1:7" x14ac:dyDescent="0.25">
      <c r="E23" s="123"/>
      <c r="F23" s="116"/>
      <c r="G23" s="116"/>
    </row>
    <row r="24" spans="1:7" x14ac:dyDescent="0.25">
      <c r="E24" s="124"/>
      <c r="F24" s="116"/>
      <c r="G24" s="116"/>
    </row>
    <row r="25" spans="1:7" x14ac:dyDescent="0.25">
      <c r="F25" s="116"/>
      <c r="G25" s="116"/>
    </row>
    <row r="26" spans="1:7" x14ac:dyDescent="0.25">
      <c r="F26" s="117"/>
      <c r="G26" s="118"/>
    </row>
    <row r="27" spans="1:7" x14ac:dyDescent="0.25">
      <c r="E27" s="122"/>
      <c r="F27" s="119"/>
      <c r="G27" s="119"/>
    </row>
    <row r="28" spans="1:7" x14ac:dyDescent="0.25">
      <c r="F28" s="117"/>
      <c r="G28" s="118"/>
    </row>
    <row r="29" spans="1:7" x14ac:dyDescent="0.25">
      <c r="F29" s="117"/>
      <c r="G29" s="117"/>
    </row>
    <row r="30" spans="1:7" x14ac:dyDescent="0.25">
      <c r="E30" s="122"/>
      <c r="F30" s="120"/>
      <c r="G30" s="120"/>
    </row>
    <row r="33" spans="5:7" x14ac:dyDescent="0.25">
      <c r="E33" s="532"/>
      <c r="F33" s="533"/>
      <c r="G33" s="533"/>
    </row>
    <row r="34" spans="5:7" x14ac:dyDescent="0.25">
      <c r="E34" s="532"/>
      <c r="F34" s="121"/>
      <c r="G34" s="122"/>
    </row>
    <row r="35" spans="5:7" x14ac:dyDescent="0.25">
      <c r="E35" s="123"/>
      <c r="F35" s="116"/>
      <c r="G35" s="116"/>
    </row>
    <row r="36" spans="5:7" x14ac:dyDescent="0.25">
      <c r="E36" s="123"/>
      <c r="F36" s="116"/>
      <c r="G36" s="116"/>
    </row>
    <row r="37" spans="5:7" x14ac:dyDescent="0.25">
      <c r="E37" s="124"/>
      <c r="F37" s="116"/>
      <c r="G37" s="116"/>
    </row>
    <row r="38" spans="5:7" x14ac:dyDescent="0.25">
      <c r="F38" s="116"/>
      <c r="G38" s="116"/>
    </row>
    <row r="39" spans="5:7" x14ac:dyDescent="0.25">
      <c r="F39" s="117"/>
      <c r="G39" s="118"/>
    </row>
    <row r="40" spans="5:7" x14ac:dyDescent="0.25">
      <c r="E40" s="122"/>
      <c r="F40" s="119"/>
      <c r="G40" s="119"/>
    </row>
    <row r="41" spans="5:7" x14ac:dyDescent="0.25">
      <c r="F41" s="117"/>
      <c r="G41" s="118"/>
    </row>
    <row r="42" spans="5:7" x14ac:dyDescent="0.25">
      <c r="F42" s="117"/>
      <c r="G42" s="117"/>
    </row>
    <row r="43" spans="5:7" x14ac:dyDescent="0.25">
      <c r="E43" s="122"/>
      <c r="F43" s="120"/>
      <c r="G43" s="120"/>
    </row>
    <row r="46" spans="5:7" x14ac:dyDescent="0.25">
      <c r="E46" s="532"/>
      <c r="F46" s="533"/>
      <c r="G46" s="533"/>
    </row>
    <row r="47" spans="5:7" x14ac:dyDescent="0.25">
      <c r="E47" s="532"/>
      <c r="F47" s="121"/>
      <c r="G47" s="122"/>
    </row>
    <row r="48" spans="5:7" x14ac:dyDescent="0.25">
      <c r="E48" s="123"/>
      <c r="F48" s="116"/>
      <c r="G48" s="116"/>
    </row>
    <row r="49" spans="5:7" x14ac:dyDescent="0.25">
      <c r="E49" s="123"/>
      <c r="F49" s="116"/>
      <c r="G49" s="116"/>
    </row>
    <row r="50" spans="5:7" x14ac:dyDescent="0.25">
      <c r="E50" s="124"/>
      <c r="F50" s="116"/>
      <c r="G50" s="116"/>
    </row>
    <row r="51" spans="5:7" x14ac:dyDescent="0.25">
      <c r="F51" s="116"/>
      <c r="G51" s="116"/>
    </row>
    <row r="52" spans="5:7" x14ac:dyDescent="0.25">
      <c r="F52" s="117"/>
      <c r="G52" s="118"/>
    </row>
    <row r="53" spans="5:7" x14ac:dyDescent="0.25">
      <c r="E53" s="122"/>
      <c r="F53" s="119"/>
      <c r="G53" s="119"/>
    </row>
    <row r="54" spans="5:7" x14ac:dyDescent="0.25">
      <c r="F54" s="117"/>
      <c r="G54" s="118"/>
    </row>
    <row r="55" spans="5:7" x14ac:dyDescent="0.25">
      <c r="F55" s="117"/>
      <c r="G55" s="117"/>
    </row>
    <row r="56" spans="5:7" x14ac:dyDescent="0.25">
      <c r="E56" s="122"/>
      <c r="F56" s="120"/>
      <c r="G56" s="120"/>
    </row>
    <row r="59" spans="5:7" x14ac:dyDescent="0.25">
      <c r="E59" s="532"/>
      <c r="F59" s="533"/>
      <c r="G59" s="533"/>
    </row>
    <row r="60" spans="5:7" x14ac:dyDescent="0.25">
      <c r="E60" s="532"/>
      <c r="F60" s="121"/>
      <c r="G60" s="122"/>
    </row>
    <row r="61" spans="5:7" x14ac:dyDescent="0.25">
      <c r="E61" s="123"/>
      <c r="F61" s="116"/>
      <c r="G61" s="116"/>
    </row>
    <row r="62" spans="5:7" x14ac:dyDescent="0.25">
      <c r="E62" s="123"/>
      <c r="F62" s="116"/>
      <c r="G62" s="116"/>
    </row>
    <row r="63" spans="5:7" x14ac:dyDescent="0.25">
      <c r="E63" s="124"/>
      <c r="F63" s="116"/>
      <c r="G63" s="116"/>
    </row>
    <row r="64" spans="5:7" x14ac:dyDescent="0.25">
      <c r="F64" s="116"/>
      <c r="G64" s="116"/>
    </row>
    <row r="65" spans="5:7" x14ac:dyDescent="0.25">
      <c r="F65" s="117"/>
      <c r="G65" s="118"/>
    </row>
    <row r="66" spans="5:7" x14ac:dyDescent="0.25">
      <c r="E66" s="122"/>
      <c r="F66" s="119"/>
      <c r="G66" s="119"/>
    </row>
    <row r="67" spans="5:7" x14ac:dyDescent="0.25">
      <c r="F67" s="117"/>
      <c r="G67" s="118"/>
    </row>
    <row r="68" spans="5:7" x14ac:dyDescent="0.25">
      <c r="F68" s="117"/>
      <c r="G68" s="117"/>
    </row>
    <row r="69" spans="5:7" x14ac:dyDescent="0.25">
      <c r="E69" s="122"/>
      <c r="F69" s="120"/>
      <c r="G69" s="120"/>
    </row>
    <row r="72" spans="5:7" x14ac:dyDescent="0.25">
      <c r="E72" s="532"/>
      <c r="F72" s="533"/>
      <c r="G72" s="533"/>
    </row>
    <row r="73" spans="5:7" x14ac:dyDescent="0.25">
      <c r="E73" s="532"/>
      <c r="F73" s="121"/>
      <c r="G73" s="122"/>
    </row>
    <row r="74" spans="5:7" x14ac:dyDescent="0.25">
      <c r="E74" s="123"/>
      <c r="F74" s="116"/>
      <c r="G74" s="116"/>
    </row>
    <row r="75" spans="5:7" x14ac:dyDescent="0.25">
      <c r="E75" s="123"/>
      <c r="F75" s="116"/>
      <c r="G75" s="116"/>
    </row>
    <row r="76" spans="5:7" x14ac:dyDescent="0.25">
      <c r="E76" s="124"/>
      <c r="F76" s="116"/>
      <c r="G76" s="116"/>
    </row>
    <row r="77" spans="5:7" x14ac:dyDescent="0.25">
      <c r="F77" s="116"/>
      <c r="G77" s="116"/>
    </row>
    <row r="78" spans="5:7" x14ac:dyDescent="0.25">
      <c r="F78" s="117"/>
      <c r="G78" s="118"/>
    </row>
    <row r="79" spans="5:7" x14ac:dyDescent="0.25">
      <c r="E79" s="122"/>
      <c r="F79" s="119"/>
      <c r="G79" s="119"/>
    </row>
    <row r="80" spans="5:7" x14ac:dyDescent="0.25">
      <c r="F80" s="117"/>
      <c r="G80" s="118"/>
    </row>
    <row r="81" spans="5:7" x14ac:dyDescent="0.25">
      <c r="F81" s="117"/>
      <c r="G81" s="117"/>
    </row>
    <row r="82" spans="5:7" x14ac:dyDescent="0.25">
      <c r="E82" s="122"/>
      <c r="F82" s="120"/>
      <c r="G82" s="120"/>
    </row>
    <row r="85" spans="5:7" x14ac:dyDescent="0.25">
      <c r="E85" s="532"/>
      <c r="F85" s="533"/>
      <c r="G85" s="533"/>
    </row>
    <row r="86" spans="5:7" x14ac:dyDescent="0.25">
      <c r="E86" s="532"/>
      <c r="F86" s="121"/>
      <c r="G86" s="122"/>
    </row>
    <row r="87" spans="5:7" x14ac:dyDescent="0.25">
      <c r="E87" s="123"/>
      <c r="F87" s="116"/>
      <c r="G87" s="116"/>
    </row>
    <row r="88" spans="5:7" x14ac:dyDescent="0.25">
      <c r="E88" s="123"/>
      <c r="F88" s="116"/>
      <c r="G88" s="116"/>
    </row>
    <row r="89" spans="5:7" x14ac:dyDescent="0.25">
      <c r="E89" s="124"/>
      <c r="F89" s="116"/>
      <c r="G89" s="116"/>
    </row>
    <row r="90" spans="5:7" x14ac:dyDescent="0.25">
      <c r="F90" s="116"/>
      <c r="G90" s="116"/>
    </row>
    <row r="91" spans="5:7" x14ac:dyDescent="0.25">
      <c r="F91" s="117"/>
      <c r="G91" s="118"/>
    </row>
    <row r="92" spans="5:7" x14ac:dyDescent="0.25">
      <c r="E92" s="122"/>
      <c r="F92" s="119"/>
      <c r="G92" s="119"/>
    </row>
    <row r="93" spans="5:7" x14ac:dyDescent="0.25">
      <c r="F93" s="117"/>
      <c r="G93" s="118"/>
    </row>
    <row r="94" spans="5:7" x14ac:dyDescent="0.25">
      <c r="F94" s="117"/>
      <c r="G94" s="117"/>
    </row>
    <row r="95" spans="5:7" x14ac:dyDescent="0.25">
      <c r="E95" s="122"/>
      <c r="F95" s="120"/>
      <c r="G95" s="120"/>
    </row>
  </sheetData>
  <mergeCells count="18">
    <mergeCell ref="E85:E86"/>
    <mergeCell ref="F85:G85"/>
    <mergeCell ref="E72:E73"/>
    <mergeCell ref="F72:G72"/>
    <mergeCell ref="A2:D2"/>
    <mergeCell ref="A3:D3"/>
    <mergeCell ref="E59:E60"/>
    <mergeCell ref="F59:G59"/>
    <mergeCell ref="A1:D1"/>
    <mergeCell ref="B5:C5"/>
    <mergeCell ref="A5:A6"/>
    <mergeCell ref="E46:E47"/>
    <mergeCell ref="F46:G46"/>
    <mergeCell ref="E6:F6"/>
    <mergeCell ref="E20:E21"/>
    <mergeCell ref="F20:G20"/>
    <mergeCell ref="E33:E34"/>
    <mergeCell ref="F33:G33"/>
  </mergeCells>
  <pageMargins left="0.7" right="0.7" top="0.75" bottom="0.75" header="0.3" footer="0.3"/>
  <pageSetup orientation="landscape" horizontalDpi="300" verticalDpi="300" r:id="rId1"/>
  <headerFooter>
    <oddHeader>&amp;LBCA Analysis&amp;CI-680 MOD</oddHeader>
    <oddFooter>&amp;RPage 1 of 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F97B7-7BBD-4EFA-8635-19C442FDCEB9}">
  <sheetPr>
    <tabColor theme="5" tint="0.59999389629810485"/>
    <pageSetUpPr fitToPage="1"/>
  </sheetPr>
  <dimension ref="A1:CG56"/>
  <sheetViews>
    <sheetView topLeftCell="A13" zoomScale="80" zoomScaleNormal="80" workbookViewId="0">
      <pane xSplit="1" topLeftCell="B1" activePane="topRight" state="frozen"/>
      <selection pane="topRight" activeCell="BB9" sqref="BB9"/>
    </sheetView>
  </sheetViews>
  <sheetFormatPr defaultColWidth="8.85546875" defaultRowHeight="15" x14ac:dyDescent="0.25"/>
  <cols>
    <col min="1" max="1" width="12.85546875" style="34" customWidth="1"/>
    <col min="2" max="3" width="10.7109375" style="34" customWidth="1"/>
    <col min="4" max="23" width="10.7109375" style="183" customWidth="1"/>
    <col min="24" max="25" width="12.85546875" style="34" customWidth="1"/>
    <col min="26" max="26" width="13.28515625" style="34" customWidth="1"/>
    <col min="27" max="32" width="12.85546875" style="34" customWidth="1"/>
    <col min="33" max="33" width="12.42578125" style="34" customWidth="1"/>
    <col min="34" max="47" width="12.85546875" style="183" hidden="1" customWidth="1"/>
    <col min="48" max="53" width="12.85546875" style="183" customWidth="1"/>
    <col min="54" max="57" width="12.85546875" style="510" customWidth="1"/>
    <col min="58" max="78" width="12.85546875" style="183" customWidth="1"/>
    <col min="79" max="79" width="14.85546875" style="183" customWidth="1"/>
    <col min="80" max="80" width="12.85546875" style="183" customWidth="1"/>
    <col min="81" max="81" width="17.5703125" style="183" customWidth="1"/>
    <col min="82" max="82" width="12.85546875" style="183" customWidth="1"/>
    <col min="83" max="83" width="17.5703125" style="183" customWidth="1"/>
    <col min="84" max="84" width="12.85546875" style="510" customWidth="1"/>
    <col min="85" max="85" width="17.5703125" style="510" customWidth="1"/>
    <col min="86" max="16384" width="8.85546875" style="34"/>
  </cols>
  <sheetData>
    <row r="1" spans="1:85" ht="27" customHeight="1" thickBot="1" x14ac:dyDescent="0.35">
      <c r="A1" s="535" t="s">
        <v>409</v>
      </c>
      <c r="B1" s="535"/>
      <c r="C1" s="535"/>
    </row>
    <row r="2" spans="1:85" ht="15.75" thickBot="1" x14ac:dyDescent="0.3">
      <c r="D2" s="539" t="s">
        <v>390</v>
      </c>
      <c r="E2" s="540"/>
      <c r="F2" s="540"/>
      <c r="G2" s="540"/>
      <c r="H2" s="540"/>
      <c r="I2" s="540"/>
      <c r="J2" s="540"/>
      <c r="K2" s="540"/>
      <c r="L2" s="540"/>
      <c r="M2" s="541"/>
      <c r="N2" s="539" t="s">
        <v>392</v>
      </c>
      <c r="O2" s="540"/>
      <c r="P2" s="540"/>
      <c r="Q2" s="540"/>
      <c r="R2" s="540"/>
      <c r="S2" s="540"/>
      <c r="T2" s="540"/>
      <c r="U2" s="540"/>
      <c r="V2" s="540"/>
      <c r="W2" s="541"/>
      <c r="X2" s="539" t="s">
        <v>393</v>
      </c>
      <c r="Y2" s="540"/>
      <c r="Z2" s="540"/>
      <c r="AA2" s="540"/>
      <c r="AB2" s="540"/>
      <c r="AC2" s="540"/>
      <c r="AD2" s="540"/>
      <c r="AE2" s="540"/>
      <c r="AF2" s="540"/>
      <c r="AG2" s="541"/>
      <c r="BL2" s="378"/>
      <c r="BM2" s="378"/>
      <c r="BN2" s="378"/>
      <c r="BO2" s="378"/>
      <c r="BP2" s="378"/>
      <c r="BQ2" s="378"/>
      <c r="BR2" s="378"/>
      <c r="BS2" s="378"/>
      <c r="BT2" s="378"/>
      <c r="BU2" s="378"/>
      <c r="BV2" s="378"/>
      <c r="BW2" s="378"/>
      <c r="BX2" s="378"/>
      <c r="BY2" s="378"/>
      <c r="BZ2" s="378"/>
      <c r="CA2" s="378"/>
      <c r="CB2" s="378"/>
      <c r="CC2" s="378"/>
      <c r="CD2" s="378"/>
      <c r="CE2" s="378"/>
      <c r="CF2" s="378"/>
      <c r="CG2" s="378"/>
    </row>
    <row r="3" spans="1:85" ht="48.75" customHeight="1" x14ac:dyDescent="0.25">
      <c r="A3" s="546" t="s">
        <v>1</v>
      </c>
      <c r="B3" s="548" t="s">
        <v>2</v>
      </c>
      <c r="C3" s="550" t="s">
        <v>17</v>
      </c>
      <c r="D3" s="546" t="s">
        <v>391</v>
      </c>
      <c r="E3" s="553"/>
      <c r="F3" s="546" t="s">
        <v>23</v>
      </c>
      <c r="G3" s="550"/>
      <c r="H3" s="546" t="s">
        <v>366</v>
      </c>
      <c r="I3" s="553"/>
      <c r="J3" s="546" t="s">
        <v>367</v>
      </c>
      <c r="K3" s="553"/>
      <c r="L3" s="546" t="s">
        <v>368</v>
      </c>
      <c r="M3" s="550"/>
      <c r="N3" s="546" t="s">
        <v>13</v>
      </c>
      <c r="O3" s="553"/>
      <c r="P3" s="546" t="s">
        <v>23</v>
      </c>
      <c r="Q3" s="553"/>
      <c r="R3" s="546" t="s">
        <v>366</v>
      </c>
      <c r="S3" s="553"/>
      <c r="T3" s="546" t="s">
        <v>367</v>
      </c>
      <c r="U3" s="553"/>
      <c r="V3" s="546" t="s">
        <v>368</v>
      </c>
      <c r="W3" s="553"/>
      <c r="X3" s="552" t="s">
        <v>13</v>
      </c>
      <c r="Y3" s="553"/>
      <c r="Z3" s="552" t="s">
        <v>23</v>
      </c>
      <c r="AA3" s="550"/>
      <c r="AB3" s="554" t="s">
        <v>366</v>
      </c>
      <c r="AC3" s="555"/>
      <c r="AD3" s="542" t="s">
        <v>367</v>
      </c>
      <c r="AE3" s="543"/>
      <c r="AF3" s="544" t="s">
        <v>368</v>
      </c>
      <c r="AG3" s="545"/>
      <c r="AH3" s="544" t="s">
        <v>372</v>
      </c>
      <c r="AI3" s="545"/>
      <c r="AJ3" s="544" t="s">
        <v>371</v>
      </c>
      <c r="AK3" s="545"/>
      <c r="AL3" s="544" t="s">
        <v>373</v>
      </c>
      <c r="AM3" s="545"/>
      <c r="AN3" s="544" t="s">
        <v>374</v>
      </c>
      <c r="AO3" s="545"/>
      <c r="AP3" s="544" t="s">
        <v>375</v>
      </c>
      <c r="AQ3" s="545"/>
      <c r="AR3" s="544" t="s">
        <v>376</v>
      </c>
      <c r="AS3" s="545"/>
      <c r="AT3" s="544" t="s">
        <v>377</v>
      </c>
      <c r="AU3" s="545"/>
      <c r="AV3" s="544" t="s">
        <v>378</v>
      </c>
      <c r="AW3" s="545"/>
      <c r="AX3" s="538" t="s">
        <v>395</v>
      </c>
      <c r="AY3" s="537"/>
      <c r="AZ3" s="544" t="s">
        <v>396</v>
      </c>
      <c r="BA3" s="543"/>
      <c r="BB3" s="544" t="s">
        <v>496</v>
      </c>
      <c r="BC3" s="543"/>
      <c r="BD3" s="544" t="s">
        <v>497</v>
      </c>
      <c r="BE3" s="543"/>
      <c r="BF3" s="538" t="s">
        <v>422</v>
      </c>
      <c r="BG3" s="537"/>
      <c r="BH3" s="538" t="s">
        <v>429</v>
      </c>
      <c r="BI3" s="537"/>
      <c r="BJ3" s="538" t="s">
        <v>423</v>
      </c>
      <c r="BK3" s="537"/>
      <c r="BL3" s="536" t="s">
        <v>398</v>
      </c>
      <c r="BM3" s="537"/>
      <c r="BN3" s="538" t="s">
        <v>401</v>
      </c>
      <c r="BO3" s="537"/>
      <c r="BP3" s="538" t="s">
        <v>402</v>
      </c>
      <c r="BQ3" s="537"/>
      <c r="BR3" s="538" t="s">
        <v>404</v>
      </c>
      <c r="BS3" s="537"/>
      <c r="BT3" s="538" t="s">
        <v>21</v>
      </c>
      <c r="BU3" s="537"/>
      <c r="BV3" s="538" t="s">
        <v>403</v>
      </c>
      <c r="BW3" s="537"/>
      <c r="BX3" s="538" t="s">
        <v>22</v>
      </c>
      <c r="BY3" s="537"/>
      <c r="BZ3" s="538" t="s">
        <v>421</v>
      </c>
      <c r="CA3" s="537"/>
      <c r="CB3" s="538" t="s">
        <v>490</v>
      </c>
      <c r="CC3" s="537"/>
      <c r="CD3" s="538" t="s">
        <v>491</v>
      </c>
      <c r="CE3" s="537"/>
      <c r="CF3" s="538" t="s">
        <v>495</v>
      </c>
      <c r="CG3" s="537"/>
    </row>
    <row r="4" spans="1:85" ht="28.5" customHeight="1" thickBot="1" x14ac:dyDescent="0.3">
      <c r="A4" s="547"/>
      <c r="B4" s="549"/>
      <c r="C4" s="551"/>
      <c r="D4" s="14" t="s">
        <v>16</v>
      </c>
      <c r="E4" s="33" t="s">
        <v>18</v>
      </c>
      <c r="F4" s="14" t="s">
        <v>16</v>
      </c>
      <c r="G4" s="78" t="s">
        <v>18</v>
      </c>
      <c r="H4" s="14" t="s">
        <v>16</v>
      </c>
      <c r="I4" s="33" t="s">
        <v>18</v>
      </c>
      <c r="J4" s="14" t="s">
        <v>16</v>
      </c>
      <c r="K4" s="33" t="s">
        <v>18</v>
      </c>
      <c r="L4" s="14" t="s">
        <v>16</v>
      </c>
      <c r="M4" s="78" t="s">
        <v>18</v>
      </c>
      <c r="N4" s="341" t="s">
        <v>16</v>
      </c>
      <c r="O4" s="342" t="s">
        <v>18</v>
      </c>
      <c r="P4" s="341" t="s">
        <v>16</v>
      </c>
      <c r="Q4" s="342" t="s">
        <v>18</v>
      </c>
      <c r="R4" s="341" t="s">
        <v>16</v>
      </c>
      <c r="S4" s="342" t="s">
        <v>18</v>
      </c>
      <c r="T4" s="341" t="s">
        <v>16</v>
      </c>
      <c r="U4" s="342" t="s">
        <v>18</v>
      </c>
      <c r="V4" s="341" t="s">
        <v>16</v>
      </c>
      <c r="W4" s="342" t="s">
        <v>18</v>
      </c>
      <c r="X4" s="77" t="s">
        <v>16</v>
      </c>
      <c r="Y4" s="33" t="s">
        <v>18</v>
      </c>
      <c r="Z4" s="77" t="s">
        <v>16</v>
      </c>
      <c r="AA4" s="78" t="s">
        <v>18</v>
      </c>
      <c r="AB4" s="14" t="s">
        <v>16</v>
      </c>
      <c r="AC4" s="33" t="s">
        <v>18</v>
      </c>
      <c r="AD4" s="77" t="s">
        <v>16</v>
      </c>
      <c r="AE4" s="78" t="s">
        <v>18</v>
      </c>
      <c r="AF4" s="14" t="s">
        <v>16</v>
      </c>
      <c r="AG4" s="33" t="s">
        <v>18</v>
      </c>
      <c r="AH4" s="14" t="s">
        <v>16</v>
      </c>
      <c r="AI4" s="33" t="s">
        <v>18</v>
      </c>
      <c r="AJ4" s="14" t="s">
        <v>16</v>
      </c>
      <c r="AK4" s="33" t="s">
        <v>18</v>
      </c>
      <c r="AL4" s="14" t="s">
        <v>16</v>
      </c>
      <c r="AM4" s="33" t="s">
        <v>18</v>
      </c>
      <c r="AN4" s="14" t="s">
        <v>16</v>
      </c>
      <c r="AO4" s="33" t="s">
        <v>18</v>
      </c>
      <c r="AP4" s="14" t="s">
        <v>16</v>
      </c>
      <c r="AQ4" s="33" t="s">
        <v>18</v>
      </c>
      <c r="AR4" s="14" t="s">
        <v>16</v>
      </c>
      <c r="AS4" s="33" t="s">
        <v>18</v>
      </c>
      <c r="AT4" s="14" t="s">
        <v>16</v>
      </c>
      <c r="AU4" s="33" t="s">
        <v>18</v>
      </c>
      <c r="AV4" s="14" t="s">
        <v>16</v>
      </c>
      <c r="AW4" s="33" t="s">
        <v>18</v>
      </c>
      <c r="AX4" s="341" t="s">
        <v>16</v>
      </c>
      <c r="AY4" s="342" t="s">
        <v>18</v>
      </c>
      <c r="AZ4" s="341" t="s">
        <v>16</v>
      </c>
      <c r="BA4" s="376" t="s">
        <v>18</v>
      </c>
      <c r="BB4" s="341" t="s">
        <v>16</v>
      </c>
      <c r="BC4" s="376" t="s">
        <v>18</v>
      </c>
      <c r="BD4" s="341" t="s">
        <v>16</v>
      </c>
      <c r="BE4" s="376" t="s">
        <v>18</v>
      </c>
      <c r="BF4" s="341" t="s">
        <v>16</v>
      </c>
      <c r="BG4" s="342" t="s">
        <v>18</v>
      </c>
      <c r="BH4" s="341" t="s">
        <v>16</v>
      </c>
      <c r="BI4" s="342" t="s">
        <v>18</v>
      </c>
      <c r="BJ4" s="341" t="s">
        <v>16</v>
      </c>
      <c r="BK4" s="342" t="s">
        <v>18</v>
      </c>
      <c r="BL4" s="395" t="s">
        <v>400</v>
      </c>
      <c r="BM4" s="71" t="s">
        <v>399</v>
      </c>
      <c r="BN4" s="379" t="s">
        <v>400</v>
      </c>
      <c r="BO4" s="71" t="s">
        <v>399</v>
      </c>
      <c r="BP4" s="379" t="s">
        <v>400</v>
      </c>
      <c r="BQ4" s="71" t="s">
        <v>399</v>
      </c>
      <c r="BR4" s="379" t="s">
        <v>400</v>
      </c>
      <c r="BS4" s="71" t="s">
        <v>399</v>
      </c>
      <c r="BT4" s="379" t="s">
        <v>400</v>
      </c>
      <c r="BU4" s="71" t="s">
        <v>399</v>
      </c>
      <c r="BV4" s="379" t="s">
        <v>400</v>
      </c>
      <c r="BW4" s="71" t="s">
        <v>399</v>
      </c>
      <c r="BX4" s="379" t="s">
        <v>400</v>
      </c>
      <c r="BY4" s="71" t="s">
        <v>399</v>
      </c>
      <c r="BZ4" s="379" t="s">
        <v>400</v>
      </c>
      <c r="CA4" s="71" t="s">
        <v>399</v>
      </c>
      <c r="CB4" s="379" t="s">
        <v>400</v>
      </c>
      <c r="CC4" s="71" t="s">
        <v>399</v>
      </c>
      <c r="CD4" s="379" t="s">
        <v>400</v>
      </c>
      <c r="CE4" s="71" t="s">
        <v>399</v>
      </c>
      <c r="CF4" s="379" t="s">
        <v>400</v>
      </c>
      <c r="CG4" s="517" t="s">
        <v>399</v>
      </c>
    </row>
    <row r="5" spans="1:85" s="183" customFormat="1" x14ac:dyDescent="0.25">
      <c r="A5" s="285">
        <v>2018</v>
      </c>
      <c r="B5" s="245">
        <v>0</v>
      </c>
      <c r="C5" s="298"/>
      <c r="D5" s="354">
        <f>'CCTA Output and Adj Factors'!B54*'CCTA Output and Adj Factors'!F2</f>
        <v>108450</v>
      </c>
      <c r="E5" s="315"/>
      <c r="F5" s="359">
        <f>'CCTA Output and Adj Factors'!B50*'CCTA Output and Adj Factors'!F2</f>
        <v>99240</v>
      </c>
      <c r="G5" s="322"/>
      <c r="H5" s="362">
        <f>'CCTA Output and Adj Factors'!B51*'CCTA Output and Adj Factors'!F2</f>
        <v>3900</v>
      </c>
      <c r="I5" s="329"/>
      <c r="J5" s="362">
        <f>'CCTA Output and Adj Factors'!B52*'CCTA Output and Adj Factors'!F2</f>
        <v>510</v>
      </c>
      <c r="K5" s="326"/>
      <c r="L5" s="362">
        <f>'CCTA Output and Adj Factors'!B53*'CCTA Output and Adj Factors'!F2</f>
        <v>4800</v>
      </c>
      <c r="M5" s="338"/>
      <c r="N5" s="362">
        <f>'CCTA Output and Adj Factors'!B48*'CCTA Output and Adj Factors'!F2</f>
        <v>28350</v>
      </c>
      <c r="O5" s="326"/>
      <c r="P5" s="362">
        <f>'CCTA Output and Adj Factors'!B44*'CCTA Output and Adj Factors'!F2</f>
        <v>24690</v>
      </c>
      <c r="Q5" s="329"/>
      <c r="R5" s="362">
        <f>'CCTA Output and Adj Factors'!B45*'CCTA Output and Adj Factors'!F2</f>
        <v>3510</v>
      </c>
      <c r="S5" s="329"/>
      <c r="T5" s="362">
        <f>'CCTA Output and Adj Factors'!$B$46*'CCTA Output and Adj Factors'!$F$2</f>
        <v>60</v>
      </c>
      <c r="U5" s="329"/>
      <c r="V5" s="362">
        <f>'CCTA Output and Adj Factors'!$B$47*'CCTA Output and Adj Factors'!$F$2</f>
        <v>90</v>
      </c>
      <c r="W5" s="306"/>
      <c r="X5" s="365">
        <f>'CCTA Output and Adj Factors'!B5*'CCTA Output and Adj Factors'!F2</f>
        <v>80100</v>
      </c>
      <c r="Y5" s="247"/>
      <c r="Z5" s="365">
        <f>'CCTA Output and Adj Factors'!B38*'CCTA Output and Adj Factors'!F2</f>
        <v>74550</v>
      </c>
      <c r="AA5" s="248"/>
      <c r="AB5" s="368">
        <f>'CCTA Output and Adj Factors'!B39*'CCTA Output and Adj Factors'!$F$2</f>
        <v>390</v>
      </c>
      <c r="AC5" s="247"/>
      <c r="AD5" s="365">
        <f>'CCTA Output and Adj Factors'!B40*'CCTA Output and Adj Factors'!F2</f>
        <v>450</v>
      </c>
      <c r="AE5" s="248"/>
      <c r="AF5" s="368">
        <f>'CCTA Output and Adj Factors'!B41*'CCTA Output and Adj Factors'!F2</f>
        <v>4710</v>
      </c>
      <c r="AG5" s="247"/>
      <c r="AH5" s="286">
        <f>'CCTA Output and Adj Factors'!B10</f>
        <v>149400</v>
      </c>
      <c r="AI5" s="247"/>
      <c r="AJ5" s="286">
        <f>'CCTA Output and Adj Factors'!B11</f>
        <v>197400</v>
      </c>
      <c r="AK5" s="247"/>
      <c r="AL5" s="286">
        <f>'CCTA Output and Adj Factors'!B12</f>
        <v>480000</v>
      </c>
      <c r="AM5" s="247"/>
      <c r="AN5" s="286">
        <f>'CCTA Output and Adj Factors'!B13</f>
        <v>940400</v>
      </c>
      <c r="AO5" s="247"/>
      <c r="AP5" s="286">
        <f>'CCTA Output and Adj Factors'!B14</f>
        <v>574700</v>
      </c>
      <c r="AQ5" s="247"/>
      <c r="AR5" s="286">
        <f>'CCTA Output and Adj Factors'!B15</f>
        <v>243600</v>
      </c>
      <c r="AS5" s="247"/>
      <c r="AT5" s="286">
        <f>'CCTA Output and Adj Factors'!B16</f>
        <v>84500</v>
      </c>
      <c r="AU5" s="247"/>
      <c r="AV5" s="368">
        <f>'CCTA Output and Adj Factors'!B60*'CCTA Output and Adj Factors'!F2</f>
        <v>342450</v>
      </c>
      <c r="AW5" s="247"/>
      <c r="AX5" s="371">
        <f>'CCTA Output and Adj Factors'!B61*'CCTA Output and Adj Factors'!F2</f>
        <v>336132.54</v>
      </c>
      <c r="AY5" s="349"/>
      <c r="AZ5" s="362">
        <f>'CCTA Output and Adj Factors'!B62*'CCTA Output and Adj Factors'!F2</f>
        <v>678582.53999999992</v>
      </c>
      <c r="BA5" s="377"/>
      <c r="BB5" s="371"/>
      <c r="BC5" s="349"/>
      <c r="BD5" s="371"/>
      <c r="BE5" s="349"/>
      <c r="BF5" s="409">
        <f>(AZ5/1000000)*'BCA Constants'!$B$243</f>
        <v>0.45948723814511994</v>
      </c>
      <c r="BG5" s="349"/>
      <c r="BH5" s="409">
        <f>(AZ5/1000000)*'BCA Constants'!$B$244</f>
        <v>0.22027874980463999</v>
      </c>
      <c r="BI5" s="410"/>
      <c r="BJ5" s="421">
        <f>(AZ5/1000000)*'BCA Constants'!$B$245</f>
        <v>2.13278492322E-3</v>
      </c>
      <c r="BK5" s="413"/>
      <c r="BL5" s="396"/>
      <c r="BM5" s="349"/>
      <c r="BN5" s="380"/>
      <c r="BO5" s="349"/>
      <c r="BP5" s="380"/>
      <c r="BQ5" s="349"/>
      <c r="BR5" s="380"/>
      <c r="BS5" s="349"/>
      <c r="BT5" s="380"/>
      <c r="BU5" s="349"/>
      <c r="BV5" s="380"/>
      <c r="BW5" s="349"/>
      <c r="BX5" s="380"/>
      <c r="BY5" s="349"/>
      <c r="BZ5" s="380"/>
      <c r="CA5" s="349"/>
      <c r="CB5" s="380"/>
      <c r="CC5" s="349"/>
      <c r="CD5" s="380"/>
      <c r="CE5" s="349"/>
      <c r="CF5" s="380"/>
      <c r="CG5" s="349"/>
    </row>
    <row r="6" spans="1:85" s="183" customFormat="1" x14ac:dyDescent="0.25">
      <c r="A6" s="244">
        <v>2019</v>
      </c>
      <c r="B6" s="245">
        <v>0</v>
      </c>
      <c r="C6" s="299"/>
      <c r="D6" s="335">
        <f>_xlfn.FORECAST.LINEAR(A6,'CCTA Output and Adj Factors'!$B$54:$D$54,'CCTA Output and Adj Factors'!$B$3:$D$3)*'CCTA Output and Adj Factors'!$F$2</f>
        <v>109323.75939849592</v>
      </c>
      <c r="E6" s="316"/>
      <c r="F6" s="307">
        <f>_xlfn.FORECAST.LINEAR(A6,'CCTA Output and Adj Factors'!$B$50:$D$50,'CCTA Output and Adj Factors'!$B$3:$D$3)*'CCTA Output and Adj Factors'!$F$2</f>
        <v>100013.83458646617</v>
      </c>
      <c r="G6" s="322"/>
      <c r="H6" s="330">
        <f>_xlfn.FORECAST.LINEAR(A6,'CCTA Output and Adj Factors'!$B$51:$D$51,'CCTA Output and Adj Factors'!$B$3:$D$3)*'CCTA Output and Adj Factors'!$F$2</f>
        <v>3958.4962406015115</v>
      </c>
      <c r="I6" s="329"/>
      <c r="J6" s="330">
        <f>_xlfn.FORECAST.LINEAR(A6,'CCTA Output and Adj Factors'!$B$52:$D$52,'CCTA Output and Adj Factors'!$B$3:$D$3)*'CCTA Output and Adj Factors'!$F$2</f>
        <v>514.962406015037</v>
      </c>
      <c r="K6" s="329"/>
      <c r="L6" s="330">
        <f>_xlfn.FORECAST.LINEAR(A6,'CCTA Output and Adj Factors'!$B$53:$D$53,'CCTA Output and Adj Factors'!$B$3:$D$3)*'CCTA Output and Adj Factors'!$F$2</f>
        <v>4836.4661654135307</v>
      </c>
      <c r="M6" s="338"/>
      <c r="N6" s="330">
        <f>_xlfn.FORECAST.LINEAR(A6,'CCTA Output and Adj Factors'!$B$48:$D$48,'CCTA Output and Adj Factors'!$B$3:$D$3)*'CCTA Output and Adj Factors'!$F$2</f>
        <v>28293.458646616582</v>
      </c>
      <c r="O6" s="329"/>
      <c r="P6" s="330">
        <f>_xlfn.FORECAST.LINEAR(A6,'CCTA Output and Adj Factors'!$B$44:$D$44,'CCTA Output and Adj Factors'!$B$3:$D$3)*'CCTA Output and Adj Factors'!$F$2</f>
        <v>24596.766917293164</v>
      </c>
      <c r="Q6" s="329"/>
      <c r="R6" s="330">
        <f>_xlfn.FORECAST.LINEAR(A6,'CCTA Output and Adj Factors'!$B$45:$D$45,'CCTA Output and Adj Factors'!$B$3:$D$3)*'CCTA Output and Adj Factors'!$F$2</f>
        <v>3548.4210526315819</v>
      </c>
      <c r="S6" s="329"/>
      <c r="T6" s="358">
        <f>'CCTA Output and Adj Factors'!$B$46*'CCTA Output and Adj Factors'!$F$2</f>
        <v>60</v>
      </c>
      <c r="U6" s="329"/>
      <c r="V6" s="358">
        <f>'CCTA Output and Adj Factors'!$B$47*'CCTA Output and Adj Factors'!$F$2</f>
        <v>90</v>
      </c>
      <c r="W6" s="306"/>
      <c r="X6" s="246">
        <f>_xlfn.FORECAST.LINEAR(A6,'CCTA Output and Adj Factors'!$B$5:$D$5,'CCTA Output and Adj Factors'!$B$3:$D$3)*'CCTA Output and Adj Factors'!$F$2</f>
        <v>81030.300751879739</v>
      </c>
      <c r="Y6" s="250"/>
      <c r="Z6" s="246">
        <f>_xlfn.FORECAST.LINEAR(A6,'CCTA Output and Adj Factors'!$B$38:$D$38,'CCTA Output and Adj Factors'!$B$3:$D$3)*'CCTA Output and Adj Factors'!$F$2</f>
        <v>75417.067669172728</v>
      </c>
      <c r="AA6" s="251"/>
      <c r="AB6" s="249">
        <f>_xlfn.FORECAST.LINEAR(A6,'CCTA Output and Adj Factors'!$B$39:$D$39,'CCTA Output and Adj Factors'!$B$3:$D$3)*'CCTA Output and Adj Factors'!$F$2</f>
        <v>410.07518796992952</v>
      </c>
      <c r="AC6" s="250"/>
      <c r="AD6" s="246">
        <f>_xlfn.FORECAST.LINEAR(A6,'CCTA Output and Adj Factors'!$B$40:$D$40,'CCTA Output and Adj Factors'!$B$3:$D$3)*'CCTA Output and Adj Factors'!$F$2</f>
        <v>456.69172932330866</v>
      </c>
      <c r="AE6" s="251"/>
      <c r="AF6" s="249">
        <f>_xlfn.FORECAST.LINEAR(A6,'CCTA Output and Adj Factors'!$B$41:$D$41,'CCTA Output and Adj Factors'!$B$3:$D$3)*'CCTA Output and Adj Factors'!$F$2</f>
        <v>4746.4661654135307</v>
      </c>
      <c r="AG6" s="250"/>
      <c r="AH6" s="249">
        <f>_xlfn.FORECAST.LINEAR(A6,'CCTA Output and Adj Factors'!$B$10:$D$10,'CCTA Output and Adj Factors'!$B$3:$D$3)</f>
        <v>150031.8295739349</v>
      </c>
      <c r="AI6" s="250"/>
      <c r="AJ6" s="249">
        <f>_xlfn.FORECAST.LINEAR(A6,'CCTA Output and Adj Factors'!$B$11:$D$11,'CCTA Output and Adj Factors'!$B$3:$D$3)</f>
        <v>198647.11779448623</v>
      </c>
      <c r="AK6" s="250"/>
      <c r="AL6" s="249">
        <f>_xlfn.FORECAST.LINEAR(A6,'CCTA Output and Adj Factors'!$B$12:$D$12,'CCTA Output and Adj Factors'!$B$3:$D$3)</f>
        <v>484566.16541353334</v>
      </c>
      <c r="AM6" s="250"/>
      <c r="AN6" s="249">
        <f>_xlfn.FORECAST.LINEAR(A6,'CCTA Output and Adj Factors'!$B$13:$D$13,'CCTA Output and Adj Factors'!$B$3:$D$3)</f>
        <v>950830.82706766948</v>
      </c>
      <c r="AO6" s="250"/>
      <c r="AP6" s="249">
        <f>_xlfn.FORECAST.LINEAR(A6,'CCTA Output and Adj Factors'!$B$14:$D$14,'CCTA Output and Adj Factors'!$B$3:$D$3)</f>
        <v>585814.5363408532</v>
      </c>
      <c r="AQ6" s="250"/>
      <c r="AR6" s="249">
        <f>_xlfn.FORECAST.LINEAR(A6,'CCTA Output and Adj Factors'!$B$15:$D$15,'CCTA Output and Adj Factors'!$B$3:$D$3)</f>
        <v>246363.40852130298</v>
      </c>
      <c r="AS6" s="250"/>
      <c r="AT6" s="249">
        <f>_xlfn.FORECAST.LINEAR(A6,'CCTA Output and Adj Factors'!$B$16:$D$16,'CCTA Output and Adj Factors'!$B$3:$D$3)</f>
        <v>84756.14035087754</v>
      </c>
      <c r="AU6" s="250"/>
      <c r="AV6" s="249">
        <f>_xlfn.FORECAST.LINEAR(A6,'CCTA Output and Adj Factors'!$B$60:$D$60,'CCTA Output and Adj Factors'!$B$3:$D$3)*'CCTA Output and Adj Factors'!$F$2</f>
        <v>346417.06766917347</v>
      </c>
      <c r="AW6" s="250"/>
      <c r="AX6" s="350">
        <f>_xlfn.FORECAST.LINEAR(A6,'CCTA Output and Adj Factors'!$B$61:$C$61,'CCTA Output and Adj Factors'!$B$3:$C$3)*'CCTA Output and Adj Factors'!$F$2</f>
        <v>334800.78600000008</v>
      </c>
      <c r="AY6" s="349"/>
      <c r="AZ6" s="330">
        <f>_xlfn.FORECAST.LINEAR(A6,'CCTA Output and Adj Factors'!$B$62:$C$62,'CCTA Output and Adj Factors'!$B$3:$C$3)*'CCTA Output and Adj Factors'!$F$2</f>
        <v>680976.78599999961</v>
      </c>
      <c r="BA6" s="377"/>
      <c r="BB6" s="350"/>
      <c r="BC6" s="349"/>
      <c r="BD6" s="350"/>
      <c r="BE6" s="349"/>
      <c r="BF6" s="409">
        <f>(AZ6/1000000)*'BCA Constants'!$B$243</f>
        <v>0.46110844915060772</v>
      </c>
      <c r="BG6" s="349"/>
      <c r="BH6" s="409">
        <f>(AZ6/1000000)*'BCA Constants'!$B$244</f>
        <v>0.22105596036417591</v>
      </c>
      <c r="BI6" s="410"/>
      <c r="BJ6" s="421">
        <f>(AZ6/1000000)*'BCA Constants'!$B$245</f>
        <v>2.1403100383979991E-3</v>
      </c>
      <c r="BK6" s="413"/>
      <c r="BL6" s="396"/>
      <c r="BM6" s="349"/>
      <c r="BN6" s="380"/>
      <c r="BO6" s="349"/>
      <c r="BP6" s="380"/>
      <c r="BQ6" s="349"/>
      <c r="BR6" s="380"/>
      <c r="BS6" s="349"/>
      <c r="BT6" s="380"/>
      <c r="BU6" s="349"/>
      <c r="BV6" s="380"/>
      <c r="BW6" s="349"/>
      <c r="BX6" s="380"/>
      <c r="BY6" s="349"/>
      <c r="BZ6" s="380"/>
      <c r="CA6" s="349"/>
      <c r="CB6" s="380"/>
      <c r="CC6" s="349"/>
      <c r="CD6" s="380"/>
      <c r="CE6" s="349"/>
      <c r="CF6" s="380"/>
      <c r="CG6" s="349"/>
    </row>
    <row r="7" spans="1:85" s="183" customFormat="1" x14ac:dyDescent="0.25">
      <c r="A7" s="244">
        <v>2020</v>
      </c>
      <c r="B7" s="245">
        <v>0</v>
      </c>
      <c r="C7" s="300">
        <v>1</v>
      </c>
      <c r="D7" s="335">
        <f>_xlfn.FORECAST.LINEAR(A7,'CCTA Output and Adj Factors'!$B$54:$D$54,'CCTA Output and Adj Factors'!$B$3:$D$3)*'CCTA Output and Adj Factors'!$F$2</f>
        <v>110345.78947368376</v>
      </c>
      <c r="E7" s="317"/>
      <c r="F7" s="307">
        <f>_xlfn.FORECAST.LINEAR(A7,'CCTA Output and Adj Factors'!$B$50:$D$50,'CCTA Output and Adj Factors'!$B$3:$D$3)*'CCTA Output and Adj Factors'!$F$2</f>
        <v>100932.10526315801</v>
      </c>
      <c r="G7" s="323"/>
      <c r="H7" s="330">
        <f>_xlfn.FORECAST.LINEAR(A7,'CCTA Output and Adj Factors'!$B$51:$D$51,'CCTA Output and Adj Factors'!$B$3:$D$3)*'CCTA Output and Adj Factors'!$F$2</f>
        <v>4008.6842105263286</v>
      </c>
      <c r="I7" s="329"/>
      <c r="J7" s="330">
        <f>_xlfn.FORECAST.LINEAR(A7,'CCTA Output and Adj Factors'!$B$52:$D$52,'CCTA Output and Adj Factors'!$B$3:$D$3)*'CCTA Output and Adj Factors'!$F$2</f>
        <v>521.84210526315837</v>
      </c>
      <c r="K7" s="329"/>
      <c r="L7" s="330">
        <f>_xlfn.FORECAST.LINEAR(A7,'CCTA Output and Adj Factors'!$B$53:$D$53,'CCTA Output and Adj Factors'!$B$3:$D$3)*'CCTA Output and Adj Factors'!$F$2</f>
        <v>4883.1578947368398</v>
      </c>
      <c r="M7" s="339"/>
      <c r="N7" s="330">
        <f>_xlfn.FORECAST.LINEAR(A7,'CCTA Output and Adj Factors'!$B$48:$D$48,'CCTA Output and Adj Factors'!$B$3:$D$3)*'CCTA Output and Adj Factors'!$F$2</f>
        <v>28485.526315789539</v>
      </c>
      <c r="O7" s="329"/>
      <c r="P7" s="330">
        <f>_xlfn.FORECAST.LINEAR(A7,'CCTA Output and Adj Factors'!$B$44:$D$44,'CCTA Output and Adj Factors'!$B$3:$D$3)*'CCTA Output and Adj Factors'!$F$2</f>
        <v>24753.421052631529</v>
      </c>
      <c r="Q7" s="329"/>
      <c r="R7" s="330">
        <f>_xlfn.FORECAST.LINEAR(A7,'CCTA Output and Adj Factors'!$B$45:$D$45,'CCTA Output and Adj Factors'!$B$3:$D$3)*'CCTA Output and Adj Factors'!$F$2</f>
        <v>3582.3684210526244</v>
      </c>
      <c r="S7" s="329"/>
      <c r="T7" s="358">
        <f>'CCTA Output and Adj Factors'!$B$46*'CCTA Output and Adj Factors'!$F$2</f>
        <v>60</v>
      </c>
      <c r="U7" s="329"/>
      <c r="V7" s="358">
        <f>'CCTA Output and Adj Factors'!$B$47*'CCTA Output and Adj Factors'!$F$2</f>
        <v>90</v>
      </c>
      <c r="W7" s="308"/>
      <c r="X7" s="246">
        <f>_xlfn.FORECAST.LINEAR(A7,'CCTA Output and Adj Factors'!$B$5:$D$5,'CCTA Output and Adj Factors'!$B$3:$D$3)*'CCTA Output and Adj Factors'!$F$2</f>
        <v>81860.263157894835</v>
      </c>
      <c r="Y7" s="250"/>
      <c r="Z7" s="246">
        <f>_xlfn.FORECAST.LINEAR(A7,'CCTA Output and Adj Factors'!$B$38:$D$38,'CCTA Output and Adj Factors'!$B$3:$D$3)*'CCTA Output and Adj Factors'!$F$2</f>
        <v>76178.684210526189</v>
      </c>
      <c r="AA7" s="251"/>
      <c r="AB7" s="249">
        <f>_xlfn.FORECAST.LINEAR(A7,'CCTA Output and Adj Factors'!$B$39:$D$39,'CCTA Output and Adj Factors'!$B$3:$D$3)*'CCTA Output and Adj Factors'!$F$2</f>
        <v>426.31578947369007</v>
      </c>
      <c r="AC7" s="250"/>
      <c r="AD7" s="246">
        <f>_xlfn.FORECAST.LINEAR(A7,'CCTA Output and Adj Factors'!$B$40:$D$40,'CCTA Output and Adj Factors'!$B$3:$D$3)*'CCTA Output and Adj Factors'!$F$2</f>
        <v>462.10526315789491</v>
      </c>
      <c r="AE7" s="251"/>
      <c r="AF7" s="249">
        <f>_xlfn.FORECAST.LINEAR(A7,'CCTA Output and Adj Factors'!$B$41:$D$41,'CCTA Output and Adj Factors'!$B$3:$D$3)*'CCTA Output and Adj Factors'!$F$2</f>
        <v>4793.1578947368398</v>
      </c>
      <c r="AG7" s="250"/>
      <c r="AH7" s="249">
        <f>_xlfn.FORECAST.LINEAR(A7,'CCTA Output and Adj Factors'!$B$10:$D$10,'CCTA Output and Adj Factors'!$B$3:$D$3)</f>
        <v>151307.01754385978</v>
      </c>
      <c r="AI7" s="250"/>
      <c r="AJ7" s="249">
        <f>_xlfn.FORECAST.LINEAR(A7,'CCTA Output and Adj Factors'!$B$11:$D$11,'CCTA Output and Adj Factors'!$B$3:$D$3)</f>
        <v>200324.56140350876</v>
      </c>
      <c r="AK7" s="250"/>
      <c r="AL7" s="249">
        <f>_xlfn.FORECAST.LINEAR(A7,'CCTA Output and Adj Factors'!$B$12:$D$12,'CCTA Output and Adj Factors'!$B$3:$D$3)</f>
        <v>488307.89473684132</v>
      </c>
      <c r="AM7" s="250"/>
      <c r="AN7" s="249">
        <f>_xlfn.FORECAST.LINEAR(A7,'CCTA Output and Adj Factors'!$B$13:$D$13,'CCTA Output and Adj Factors'!$B$3:$D$3)</f>
        <v>960539.47368421033</v>
      </c>
      <c r="AO7" s="250"/>
      <c r="AP7" s="249">
        <f>_xlfn.FORECAST.LINEAR(A7,'CCTA Output and Adj Factors'!$B$14:$D$14,'CCTA Output and Adj Factors'!$B$3:$D$3)</f>
        <v>593354.38596491329</v>
      </c>
      <c r="AQ7" s="250"/>
      <c r="AR7" s="249">
        <f>_xlfn.FORECAST.LINEAR(A7,'CCTA Output and Adj Factors'!$B$15:$D$15,'CCTA Output and Adj Factors'!$B$3:$D$3)</f>
        <v>249009.6491228072</v>
      </c>
      <c r="AS7" s="250"/>
      <c r="AT7" s="249">
        <f>_xlfn.FORECAST.LINEAR(A7,'CCTA Output and Adj Factors'!$B$16:$D$16,'CCTA Output and Adj Factors'!$B$3:$D$3)</f>
        <v>85832.456140350783</v>
      </c>
      <c r="AU7" s="250"/>
      <c r="AV7" s="249">
        <f>_xlfn.FORECAST.LINEAR(A7,'CCTA Output and Adj Factors'!$B$60:$D$60,'CCTA Output and Adj Factors'!$B$3:$D$3)*'CCTA Output and Adj Factors'!$F$2</f>
        <v>349938.68421052693</v>
      </c>
      <c r="AW7" s="250"/>
      <c r="AX7" s="350">
        <f>_xlfn.FORECAST.LINEAR(A7,'CCTA Output and Adj Factors'!$B$61:$C$61,'CCTA Output and Adj Factors'!$B$3:$C$3)*'CCTA Output and Adj Factors'!$F$2</f>
        <v>333469.03200000018</v>
      </c>
      <c r="AY7" s="349"/>
      <c r="AZ7" s="330">
        <f>_xlfn.FORECAST.LINEAR(A7,'CCTA Output and Adj Factors'!$B$62:$C$62,'CCTA Output and Adj Factors'!$B$3:$C$3)*'CCTA Output and Adj Factors'!$F$2</f>
        <v>683371.03200000012</v>
      </c>
      <c r="BA7" s="377"/>
      <c r="BB7" s="350"/>
      <c r="BC7" s="349"/>
      <c r="BD7" s="350"/>
      <c r="BE7" s="349"/>
      <c r="BF7" s="409">
        <f>(AZ7/1000000)*'BCA Constants'!$B$243</f>
        <v>0.46272966015609607</v>
      </c>
      <c r="BG7" s="349"/>
      <c r="BH7" s="409">
        <f>(AZ7/1000000)*'BCA Constants'!$B$244</f>
        <v>0.22183317092371205</v>
      </c>
      <c r="BI7" s="410"/>
      <c r="BJ7" s="421">
        <f>(AZ7/1000000)*'BCA Constants'!$B$245</f>
        <v>2.1478351535760003E-3</v>
      </c>
      <c r="BK7" s="413"/>
      <c r="BL7" s="396"/>
      <c r="BM7" s="349"/>
      <c r="BN7" s="380"/>
      <c r="BO7" s="349"/>
      <c r="BP7" s="380"/>
      <c r="BQ7" s="349"/>
      <c r="BR7" s="380"/>
      <c r="BS7" s="349"/>
      <c r="BT7" s="380"/>
      <c r="BU7" s="349"/>
      <c r="BV7" s="380"/>
      <c r="BW7" s="349"/>
      <c r="BX7" s="380"/>
      <c r="BY7" s="349"/>
      <c r="BZ7" s="380"/>
      <c r="CA7" s="349"/>
      <c r="CB7" s="380"/>
      <c r="CC7" s="349"/>
      <c r="CD7" s="380"/>
      <c r="CE7" s="349"/>
      <c r="CF7" s="380"/>
      <c r="CG7" s="349"/>
    </row>
    <row r="8" spans="1:85" x14ac:dyDescent="0.25">
      <c r="A8" s="75">
        <v>2021</v>
      </c>
      <c r="B8" s="76">
        <v>0</v>
      </c>
      <c r="C8" s="79">
        <v>2</v>
      </c>
      <c r="D8" s="335">
        <f>_xlfn.FORECAST.LINEAR(A8,'CCTA Output and Adj Factors'!$B$54:$D$54,'CCTA Output and Adj Factors'!$B$3:$D$3)*'CCTA Output and Adj Factors'!$F$2</f>
        <v>111367.81954887204</v>
      </c>
      <c r="E8" s="318"/>
      <c r="F8" s="307">
        <f>_xlfn.FORECAST.LINEAR(A8,'CCTA Output and Adj Factors'!$B$50:$D$50,'CCTA Output and Adj Factors'!$B$3:$D$3)*'CCTA Output and Adj Factors'!$F$2</f>
        <v>101850.37593984962</v>
      </c>
      <c r="G8" s="314"/>
      <c r="H8" s="330">
        <f>_xlfn.FORECAST.LINEAR(A8,'CCTA Output and Adj Factors'!$B$51:$D$51,'CCTA Output and Adj Factors'!$B$3:$D$3)*'CCTA Output and Adj Factors'!$F$2</f>
        <v>4058.8721804511315</v>
      </c>
      <c r="I8" s="254"/>
      <c r="J8" s="330">
        <f>_xlfn.FORECAST.LINEAR(A8,'CCTA Output and Adj Factors'!$B$52:$D$52,'CCTA Output and Adj Factors'!$B$3:$D$3)*'CCTA Output and Adj Factors'!$F$2</f>
        <v>528.72180451127815</v>
      </c>
      <c r="K8" s="254"/>
      <c r="L8" s="330">
        <f>_xlfn.FORECAST.LINEAR(A8,'CCTA Output and Adj Factors'!$B$53:$D$53,'CCTA Output and Adj Factors'!$B$3:$D$3)*'CCTA Output and Adj Factors'!$F$2</f>
        <v>4929.8496240601498</v>
      </c>
      <c r="M8" s="340"/>
      <c r="N8" s="330">
        <f>_xlfn.FORECAST.LINEAR(A8,'CCTA Output and Adj Factors'!$B$48:$D$48,'CCTA Output and Adj Factors'!$B$3:$D$3)*'CCTA Output and Adj Factors'!$F$2</f>
        <v>28677.593984962441</v>
      </c>
      <c r="O8" s="254"/>
      <c r="P8" s="330">
        <f>_xlfn.FORECAST.LINEAR(A8,'CCTA Output and Adj Factors'!$B$44:$D$44,'CCTA Output and Adj Factors'!$B$3:$D$3)*'CCTA Output and Adj Factors'!$F$2</f>
        <v>24910.075187969895</v>
      </c>
      <c r="Q8" s="254"/>
      <c r="R8" s="330">
        <f>_xlfn.FORECAST.LINEAR(A8,'CCTA Output and Adj Factors'!$B$45:$D$45,'CCTA Output and Adj Factors'!$B$3:$D$3)*'CCTA Output and Adj Factors'!$F$2</f>
        <v>3616.3157894736805</v>
      </c>
      <c r="S8" s="254"/>
      <c r="T8" s="358">
        <f>'CCTA Output and Adj Factors'!$B$46*'CCTA Output and Adj Factors'!$F$2</f>
        <v>60</v>
      </c>
      <c r="U8" s="254"/>
      <c r="V8" s="358">
        <f>'CCTA Output and Adj Factors'!$B$47*'CCTA Output and Adj Factors'!$F$2</f>
        <v>90</v>
      </c>
      <c r="W8" s="68"/>
      <c r="X8" s="246">
        <f>_xlfn.FORECAST.LINEAR(A8,'CCTA Output and Adj Factors'!$B$5:$D$5,'CCTA Output and Adj Factors'!$B$3:$D$3)*'CCTA Output and Adj Factors'!$F$2</f>
        <v>82690.225563909713</v>
      </c>
      <c r="Y8" s="252"/>
      <c r="Z8" s="246">
        <f>_xlfn.FORECAST.LINEAR(A8,'CCTA Output and Adj Factors'!$B$38:$D$38,'CCTA Output and Adj Factors'!$B$3:$D$3)*'CCTA Output and Adj Factors'!$F$2</f>
        <v>76940.300751879666</v>
      </c>
      <c r="AA8" s="253"/>
      <c r="AB8" s="249">
        <f>_xlfn.FORECAST.LINEAR(A8,'CCTA Output and Adj Factors'!$B$39:$D$39,'CCTA Output and Adj Factors'!$B$3:$D$3)*'CCTA Output and Adj Factors'!$F$2</f>
        <v>442.55639097744364</v>
      </c>
      <c r="AC8" s="252"/>
      <c r="AD8" s="246">
        <f>_xlfn.FORECAST.LINEAR(A8,'CCTA Output and Adj Factors'!$B$40:$D$40,'CCTA Output and Adj Factors'!$B$3:$D$3)*'CCTA Output and Adj Factors'!$F$2</f>
        <v>467.51879699248121</v>
      </c>
      <c r="AE8" s="253"/>
      <c r="AF8" s="249">
        <f>_xlfn.FORECAST.LINEAR(A8,'CCTA Output and Adj Factors'!$B$41:$D$41,'CCTA Output and Adj Factors'!$B$3:$D$3)*'CCTA Output and Adj Factors'!$F$2</f>
        <v>4839.8496240601498</v>
      </c>
      <c r="AG8" s="252"/>
      <c r="AH8" s="249">
        <f>_xlfn.FORECAST.LINEAR(A8,'CCTA Output and Adj Factors'!$B$10:$D$10,'CCTA Output and Adj Factors'!$B$3:$D$3)</f>
        <v>152582.20551378466</v>
      </c>
      <c r="AI8" s="252"/>
      <c r="AJ8" s="249">
        <f>_xlfn.FORECAST.LINEAR(A8,'CCTA Output and Adj Factors'!$B$11:$D$11,'CCTA Output and Adj Factors'!$B$3:$D$3)</f>
        <v>202002.0050125313</v>
      </c>
      <c r="AK8" s="252"/>
      <c r="AL8" s="249">
        <f>_xlfn.FORECAST.LINEAR(A8,'CCTA Output and Adj Factors'!$B$12:$D$12,'CCTA Output and Adj Factors'!$B$3:$D$3)</f>
        <v>492049.62406015024</v>
      </c>
      <c r="AM8" s="252"/>
      <c r="AN8" s="249">
        <f>_xlfn.FORECAST.LINEAR(A8,'CCTA Output and Adj Factors'!$B$13:$D$13,'CCTA Output and Adj Factors'!$B$3:$D$3)</f>
        <v>970248.12030075118</v>
      </c>
      <c r="AO8" s="252"/>
      <c r="AP8" s="249">
        <f>_xlfn.FORECAST.LINEAR(A8,'CCTA Output and Adj Factors'!$B$14:$D$14,'CCTA Output and Adj Factors'!$B$3:$D$3)</f>
        <v>600894.23558897339</v>
      </c>
      <c r="AQ8" s="252"/>
      <c r="AR8" s="249">
        <f>_xlfn.FORECAST.LINEAR(A8,'CCTA Output and Adj Factors'!$B$15:$D$15,'CCTA Output and Adj Factors'!$B$3:$D$3)</f>
        <v>251655.88972431049</v>
      </c>
      <c r="AS8" s="252"/>
      <c r="AT8" s="249">
        <f>_xlfn.FORECAST.LINEAR(A8,'CCTA Output and Adj Factors'!$B$16:$D$16,'CCTA Output and Adj Factors'!$B$3:$D$3)</f>
        <v>86908.771929824492</v>
      </c>
      <c r="AU8" s="252"/>
      <c r="AV8" s="249">
        <f>_xlfn.FORECAST.LINEAR(A8,'CCTA Output and Adj Factors'!$B$60:$D$60,'CCTA Output and Adj Factors'!$B$3:$D$3)*'CCTA Output and Adj Factors'!$F$2</f>
        <v>353460.30075187952</v>
      </c>
      <c r="AW8" s="252"/>
      <c r="AX8" s="350">
        <f>_xlfn.FORECAST.LINEAR(A8,'CCTA Output and Adj Factors'!$B$61:$C$61,'CCTA Output and Adj Factors'!$B$3:$C$3)*'CCTA Output and Adj Factors'!$F$2</f>
        <v>332137.27799999982</v>
      </c>
      <c r="AY8" s="254"/>
      <c r="AZ8" s="330">
        <f>_xlfn.FORECAST.LINEAR(A8,'CCTA Output and Adj Factors'!$B$62:$C$62,'CCTA Output and Adj Factors'!$B$3:$C$3)*'CCTA Output and Adj Factors'!$F$2</f>
        <v>685765.27799999982</v>
      </c>
      <c r="BA8" s="255"/>
      <c r="BB8" s="350"/>
      <c r="BC8" s="254"/>
      <c r="BD8" s="350"/>
      <c r="BE8" s="254"/>
      <c r="BF8" s="409">
        <f>(AZ8/1000000)*'BCA Constants'!$B$243</f>
        <v>0.46435087116158386</v>
      </c>
      <c r="BG8" s="254"/>
      <c r="BH8" s="409">
        <f>(AZ8/1000000)*'BCA Constants'!$B$244</f>
        <v>0.22261038148324797</v>
      </c>
      <c r="BI8" s="411"/>
      <c r="BJ8" s="421">
        <f>(AZ8/1000000)*'BCA Constants'!$B$245</f>
        <v>2.1553602687539994E-3</v>
      </c>
      <c r="BK8" s="414"/>
      <c r="BL8" s="397"/>
      <c r="BM8" s="254"/>
      <c r="BN8" s="381"/>
      <c r="BO8" s="254"/>
      <c r="BP8" s="381"/>
      <c r="BQ8" s="254"/>
      <c r="BR8" s="381"/>
      <c r="BS8" s="254"/>
      <c r="BT8" s="381"/>
      <c r="BU8" s="254"/>
      <c r="BV8" s="381"/>
      <c r="BW8" s="254"/>
      <c r="BX8" s="381"/>
      <c r="BY8" s="254"/>
      <c r="BZ8" s="381"/>
      <c r="CA8" s="254"/>
      <c r="CB8" s="381"/>
      <c r="CC8" s="254"/>
      <c r="CD8" s="381"/>
      <c r="CE8" s="254"/>
      <c r="CF8" s="381"/>
      <c r="CG8" s="254"/>
    </row>
    <row r="9" spans="1:85" ht="15.75" thickBot="1" x14ac:dyDescent="0.3">
      <c r="A9" s="67">
        <v>2022</v>
      </c>
      <c r="B9" s="65">
        <v>0</v>
      </c>
      <c r="C9" s="80">
        <v>3</v>
      </c>
      <c r="D9" s="335">
        <f>_xlfn.FORECAST.LINEAR(A9,'CCTA Output and Adj Factors'!$B$54:$D$54,'CCTA Output and Adj Factors'!$B$3:$D$3)*'CCTA Output and Adj Factors'!$F$2</f>
        <v>112389.84962405986</v>
      </c>
      <c r="E9" s="309"/>
      <c r="F9" s="307">
        <f>_xlfn.FORECAST.LINEAR(A9,'CCTA Output and Adj Factors'!$B$50:$D$50,'CCTA Output and Adj Factors'!$B$3:$D$3)*'CCTA Output and Adj Factors'!$F$2</f>
        <v>102768.64661654145</v>
      </c>
      <c r="G9" s="314"/>
      <c r="H9" s="330">
        <f>_xlfn.FORECAST.LINEAR(A9,'CCTA Output and Adj Factors'!$B$51:$D$51,'CCTA Output and Adj Factors'!$B$3:$D$3)*'CCTA Output and Adj Factors'!$F$2</f>
        <v>4109.0601503759481</v>
      </c>
      <c r="I9" s="254"/>
      <c r="J9" s="330">
        <f>_xlfn.FORECAST.LINEAR(A9,'CCTA Output and Adj Factors'!$B$52:$D$52,'CCTA Output and Adj Factors'!$B$3:$D$3)*'CCTA Output and Adj Factors'!$F$2</f>
        <v>535.60150375939793</v>
      </c>
      <c r="K9" s="254"/>
      <c r="L9" s="330">
        <f>_xlfn.FORECAST.LINEAR(A9,'CCTA Output and Adj Factors'!$B$53:$D$53,'CCTA Output and Adj Factors'!$B$3:$D$3)*'CCTA Output and Adj Factors'!$F$2</f>
        <v>4976.5413533834599</v>
      </c>
      <c r="M9" s="340"/>
      <c r="N9" s="330">
        <f>_xlfn.FORECAST.LINEAR(A9,'CCTA Output and Adj Factors'!$B$48:$D$48,'CCTA Output and Adj Factors'!$B$3:$D$3)*'CCTA Output and Adj Factors'!$F$2</f>
        <v>28869.661654135398</v>
      </c>
      <c r="O9" s="254"/>
      <c r="P9" s="330">
        <f>_xlfn.FORECAST.LINEAR(A9,'CCTA Output and Adj Factors'!$B$44:$D$44,'CCTA Output and Adj Factors'!$B$3:$D$3)*'CCTA Output and Adj Factors'!$F$2</f>
        <v>25066.729323308205</v>
      </c>
      <c r="Q9" s="254"/>
      <c r="R9" s="330">
        <f>_xlfn.FORECAST.LINEAR(A9,'CCTA Output and Adj Factors'!$B$45:$D$45,'CCTA Output and Adj Factors'!$B$3:$D$3)*'CCTA Output and Adj Factors'!$F$2</f>
        <v>3650.2631578947371</v>
      </c>
      <c r="S9" s="254"/>
      <c r="T9" s="358">
        <f>'CCTA Output and Adj Factors'!$B$46*'CCTA Output and Adj Factors'!$F$2</f>
        <v>60</v>
      </c>
      <c r="U9" s="254"/>
      <c r="V9" s="358">
        <f>'CCTA Output and Adj Factors'!$B$47*'CCTA Output and Adj Factors'!$F$2</f>
        <v>90</v>
      </c>
      <c r="W9" s="68"/>
      <c r="X9" s="246">
        <f>_xlfn.FORECAST.LINEAR(A9,'CCTA Output and Adj Factors'!$B$5:$D$5,'CCTA Output and Adj Factors'!$B$3:$D$3)*'CCTA Output and Adj Factors'!$F$2</f>
        <v>83520.187969924809</v>
      </c>
      <c r="Y9" s="254"/>
      <c r="Z9" s="246">
        <f>_xlfn.FORECAST.LINEAR(A9,'CCTA Output and Adj Factors'!$B$38:$D$38,'CCTA Output and Adj Factors'!$B$3:$D$3)*'CCTA Output and Adj Factors'!$F$2</f>
        <v>77701.917293232895</v>
      </c>
      <c r="AA9" s="255"/>
      <c r="AB9" s="249">
        <f>_xlfn.FORECAST.LINEAR(A9,'CCTA Output and Adj Factors'!$B$39:$D$39,'CCTA Output and Adj Factors'!$B$3:$D$3)*'CCTA Output and Adj Factors'!$F$2</f>
        <v>458.7969924812042</v>
      </c>
      <c r="AC9" s="254"/>
      <c r="AD9" s="246">
        <f>_xlfn.FORECAST.LINEAR(A9,'CCTA Output and Adj Factors'!$B$40:$D$40,'CCTA Output and Adj Factors'!$B$3:$D$3)*'CCTA Output and Adj Factors'!$F$2</f>
        <v>472.93233082706746</v>
      </c>
      <c r="AE9" s="255"/>
      <c r="AF9" s="249">
        <f>_xlfn.FORECAST.LINEAR(A9,'CCTA Output and Adj Factors'!$B$41:$D$41,'CCTA Output and Adj Factors'!$B$3:$D$3)*'CCTA Output and Adj Factors'!$F$2</f>
        <v>4886.5413533834599</v>
      </c>
      <c r="AG9" s="254"/>
      <c r="AH9" s="249">
        <f>_xlfn.FORECAST.LINEAR(A9,'CCTA Output and Adj Factors'!$B$10:$D$10,'CCTA Output and Adj Factors'!$B$3:$D$3)</f>
        <v>153857.39348370954</v>
      </c>
      <c r="AI9" s="254"/>
      <c r="AJ9" s="249">
        <f>_xlfn.FORECAST.LINEAR(A9,'CCTA Output and Adj Factors'!$B$11:$D$11,'CCTA Output and Adj Factors'!$B$3:$D$3)</f>
        <v>203679.44862155383</v>
      </c>
      <c r="AK9" s="254"/>
      <c r="AL9" s="249">
        <f>_xlfn.FORECAST.LINEAR(A9,'CCTA Output and Adj Factors'!$B$12:$D$12,'CCTA Output and Adj Factors'!$B$3:$D$3)</f>
        <v>495791.35338345822</v>
      </c>
      <c r="AM9" s="254"/>
      <c r="AN9" s="249">
        <f>_xlfn.FORECAST.LINEAR(A9,'CCTA Output and Adj Factors'!$B$13:$D$13,'CCTA Output and Adj Factors'!$B$3:$D$3)</f>
        <v>979956.76691729203</v>
      </c>
      <c r="AO9" s="254"/>
      <c r="AP9" s="249">
        <f>_xlfn.FORECAST.LINEAR(A9,'CCTA Output and Adj Factors'!$B$14:$D$14,'CCTA Output and Adj Factors'!$B$3:$D$3)</f>
        <v>608434.08521303348</v>
      </c>
      <c r="AQ9" s="254"/>
      <c r="AR9" s="249">
        <f>_xlfn.FORECAST.LINEAR(A9,'CCTA Output and Adj Factors'!$B$15:$D$15,'CCTA Output and Adj Factors'!$B$3:$D$3)</f>
        <v>254302.13032581471</v>
      </c>
      <c r="AS9" s="254"/>
      <c r="AT9" s="249">
        <f>_xlfn.FORECAST.LINEAR(A9,'CCTA Output and Adj Factors'!$B$16:$D$16,'CCTA Output and Adj Factors'!$B$3:$D$3)</f>
        <v>87985.087719298201</v>
      </c>
      <c r="AU9" s="254"/>
      <c r="AV9" s="249">
        <f>_xlfn.FORECAST.LINEAR(A9,'CCTA Output and Adj Factors'!$B$60:$D$60,'CCTA Output and Adj Factors'!$B$3:$D$3)*'CCTA Output and Adj Factors'!$F$2</f>
        <v>356981.91729323298</v>
      </c>
      <c r="AW9" s="254"/>
      <c r="AX9" s="350">
        <f>_xlfn.FORECAST.LINEAR(A9,'CCTA Output and Adj Factors'!$B$61:$C$61,'CCTA Output and Adj Factors'!$B$3:$C$3)*'CCTA Output and Adj Factors'!$F$2</f>
        <v>330805.52399999992</v>
      </c>
      <c r="AY9" s="254"/>
      <c r="AZ9" s="330">
        <f>_xlfn.FORECAST.LINEAR(A9,'CCTA Output and Adj Factors'!$B$62:$C$62,'CCTA Output and Adj Factors'!$B$3:$C$3)*'CCTA Output and Adj Factors'!$F$2</f>
        <v>688159.52400000033</v>
      </c>
      <c r="BA9" s="255"/>
      <c r="BB9" s="350"/>
      <c r="BC9" s="254"/>
      <c r="BD9" s="350"/>
      <c r="BE9" s="254"/>
      <c r="BF9" s="409">
        <f>(AZ9/1000000)*'BCA Constants'!$B$243</f>
        <v>0.4659720821670722</v>
      </c>
      <c r="BG9" s="254"/>
      <c r="BH9" s="409">
        <f>(AZ9/1000000)*'BCA Constants'!$B$244</f>
        <v>0.22338759204278413</v>
      </c>
      <c r="BI9" s="411"/>
      <c r="BJ9" s="421">
        <f>(AZ9/1000000)*'BCA Constants'!$B$245</f>
        <v>2.162885383932001E-3</v>
      </c>
      <c r="BK9" s="414"/>
      <c r="BL9" s="397"/>
      <c r="BM9" s="254"/>
      <c r="BN9" s="381"/>
      <c r="BO9" s="254"/>
      <c r="BP9" s="381"/>
      <c r="BQ9" s="254"/>
      <c r="BR9" s="381"/>
      <c r="BS9" s="254"/>
      <c r="BT9" s="381"/>
      <c r="BU9" s="254"/>
      <c r="BV9" s="381"/>
      <c r="BW9" s="254"/>
      <c r="BX9" s="381"/>
      <c r="BY9" s="254"/>
      <c r="BZ9" s="381"/>
      <c r="CA9" s="254"/>
      <c r="CB9" s="381"/>
      <c r="CC9" s="254"/>
      <c r="CD9" s="381"/>
      <c r="CE9" s="254"/>
      <c r="CF9" s="381"/>
      <c r="CG9" s="254"/>
    </row>
    <row r="10" spans="1:85" x14ac:dyDescent="0.25">
      <c r="A10" s="69">
        <v>2023</v>
      </c>
      <c r="B10" s="66">
        <v>1</v>
      </c>
      <c r="C10" s="81">
        <v>4</v>
      </c>
      <c r="D10" s="355">
        <f>'CCTA Output and Adj Factors'!C54*'CCTA Output and Adj Factors'!F2</f>
        <v>113220</v>
      </c>
      <c r="E10" s="319"/>
      <c r="F10" s="360">
        <f>'CCTA Output and Adj Factors'!C50*'CCTA Output and Adj Factors'!F2</f>
        <v>103500</v>
      </c>
      <c r="G10" s="294">
        <f>'CCTA Output and Adj Factors'!$F$50*F10</f>
        <v>98325</v>
      </c>
      <c r="H10" s="361">
        <f>'CCTA Output and Adj Factors'!C51*'CCTA Output and Adj Factors'!F2</f>
        <v>4170</v>
      </c>
      <c r="I10" s="331"/>
      <c r="J10" s="361">
        <f>'CCTA Output and Adj Factors'!C52*'CCTA Output and Adj Factors'!F2</f>
        <v>540</v>
      </c>
      <c r="K10" s="327"/>
      <c r="L10" s="361">
        <f>'CCTA Output and Adj Factors'!C53*'CCTA Output and Adj Factors'!F2</f>
        <v>5010</v>
      </c>
      <c r="M10" s="294"/>
      <c r="N10" s="361">
        <f>'CCTA Output and Adj Factors'!C48*'CCTA Output and Adj Factors'!F2</f>
        <v>28740</v>
      </c>
      <c r="O10" s="327"/>
      <c r="P10" s="361">
        <f>'CCTA Output and Adj Factors'!C44*'CCTA Output and Adj Factors'!F2</f>
        <v>24900</v>
      </c>
      <c r="Q10" s="331">
        <f>P10-(F10-G10)*'CCTA Output and Adj Factors'!$F$45</f>
        <v>22312.5</v>
      </c>
      <c r="R10" s="361">
        <f>'CCTA Output and Adj Factors'!C45*'CCTA Output and Adj Factors'!F2</f>
        <v>3690</v>
      </c>
      <c r="S10" s="331">
        <f>R10+(F10-G10)*'CCTA Output and Adj Factors'!$F$45</f>
        <v>6277.5</v>
      </c>
      <c r="T10" s="361">
        <f>'CCTA Output and Adj Factors'!C46*'CCTA Output and Adj Factors'!F2</f>
        <v>60</v>
      </c>
      <c r="U10" s="331"/>
      <c r="V10" s="361">
        <f>'CCTA Output and Adj Factors'!$B$47*'CCTA Output and Adj Factors'!$F$2</f>
        <v>90</v>
      </c>
      <c r="W10" s="70"/>
      <c r="X10" s="366">
        <f>'CCTA Output and Adj Factors'!C5*'CCTA Output and Adj Factors'!F2</f>
        <v>84480</v>
      </c>
      <c r="Y10" s="257"/>
      <c r="Z10" s="366">
        <f>'CCTA Output and Adj Factors'!C38*'CCTA Output and Adj Factors'!F2</f>
        <v>78600</v>
      </c>
      <c r="AA10" s="291"/>
      <c r="AB10" s="369">
        <f>'CCTA Output and Adj Factors'!C39*'CCTA Output and Adj Factors'!F2</f>
        <v>480</v>
      </c>
      <c r="AC10" s="290"/>
      <c r="AD10" s="366">
        <f>'CCTA Output and Adj Factors'!C40*'CCTA Output and Adj Factors'!F2</f>
        <v>480</v>
      </c>
      <c r="AE10" s="291">
        <f>AD10+(F10-G10)*'CCTA Output and Adj Factors'!$F$40</f>
        <v>1773.75</v>
      </c>
      <c r="AF10" s="369">
        <f>'CCTA Output and Adj Factors'!C41*'CCTA Output and Adj Factors'!F2</f>
        <v>4920</v>
      </c>
      <c r="AG10" s="290">
        <f>AF10+(F10-G10)*'CCTA Output and Adj Factors'!$F$41</f>
        <v>6213.75</v>
      </c>
      <c r="AH10" s="256">
        <f>'CCTA Output and Adj Factors'!C10</f>
        <v>154300</v>
      </c>
      <c r="AI10" s="257"/>
      <c r="AJ10" s="256">
        <f>'CCTA Output and Adj Factors'!C11</f>
        <v>204800</v>
      </c>
      <c r="AK10" s="257"/>
      <c r="AL10" s="256">
        <f>'CCTA Output and Adj Factors'!C12</f>
        <v>500600</v>
      </c>
      <c r="AM10" s="257"/>
      <c r="AN10" s="256">
        <f>'CCTA Output and Adj Factors'!C13</f>
        <v>990600</v>
      </c>
      <c r="AO10" s="257"/>
      <c r="AP10" s="256">
        <f>'CCTA Output and Adj Factors'!C14</f>
        <v>620600</v>
      </c>
      <c r="AQ10" s="257"/>
      <c r="AR10" s="256">
        <f>'CCTA Output and Adj Factors'!C15</f>
        <v>257100</v>
      </c>
      <c r="AS10" s="257"/>
      <c r="AT10" s="256">
        <f>'CCTA Output and Adj Factors'!C16</f>
        <v>88000</v>
      </c>
      <c r="AU10" s="257"/>
      <c r="AV10" s="369">
        <f>'CCTA Output and Adj Factors'!C60*'CCTA Output and Adj Factors'!F2</f>
        <v>361080</v>
      </c>
      <c r="AW10" s="290">
        <f>AV10*'CCTA Output and Adj Factors'!$F$60</f>
        <v>0</v>
      </c>
      <c r="AX10" s="372">
        <f>'CCTA Output and Adj Factors'!C61*'CCTA Output and Adj Factors'!F2</f>
        <v>329473.76999999996</v>
      </c>
      <c r="AY10" s="290"/>
      <c r="AZ10" s="361">
        <f>'CCTA Output and Adj Factors'!C62*'CCTA Output and Adj Factors'!F2</f>
        <v>690553.77</v>
      </c>
      <c r="BA10" s="291">
        <f>AZ10*'CCTA Output and Adj Factors'!$F$61</f>
        <v>656026.08149999997</v>
      </c>
      <c r="BB10" s="372">
        <v>8560162.2504628487</v>
      </c>
      <c r="BC10" s="290">
        <v>8560162.2504628487</v>
      </c>
      <c r="BD10" s="372">
        <v>304415.44276183675</v>
      </c>
      <c r="BE10" s="290">
        <v>304415.44276183675</v>
      </c>
      <c r="BF10" s="401">
        <f>(AZ10/1000000)*'BCA Constants'!$B$243</f>
        <v>0.46759329317255999</v>
      </c>
      <c r="BG10" s="402">
        <f>(BA10/1000000)*'BCA Constants'!$B$243</f>
        <v>0.44421362851393192</v>
      </c>
      <c r="BH10" s="401">
        <f>(AZ10/1000000)*'BCA Constants'!$B$244</f>
        <v>0.22416480260232002</v>
      </c>
      <c r="BI10" s="402">
        <f>(BA10/1000000)*'BCA Constants'!$B$244</f>
        <v>0.21295656247220401</v>
      </c>
      <c r="BJ10" s="412">
        <f>(AZ10/1000000)*'BCA Constants'!$B$245</f>
        <v>2.1704104991100001E-3</v>
      </c>
      <c r="BK10" s="415">
        <f>(BA10/1000000)*'BCA Constants'!$B$245</f>
        <v>2.0618899741545E-3</v>
      </c>
      <c r="BL10" s="398">
        <f>(S10-R10)*'BCA Constants'!$B$81*'BCA Constants'!$B$9</f>
        <v>67275</v>
      </c>
      <c r="BM10" s="290">
        <f>BL10/(1.07^(A10-$A$7))</f>
        <v>54916.439667832063</v>
      </c>
      <c r="BN10" s="289">
        <f>(AG10-AF10)*'BCA Constants'!$B$43*'BCA Constants'!$B$9</f>
        <v>2381535</v>
      </c>
      <c r="BO10" s="290">
        <f>BN10/(1.07^(A10-$A$7))</f>
        <v>1944041.9642412551</v>
      </c>
      <c r="BP10" s="289">
        <f>(AE10-AD10)*'BCA Constants'!$B$44*'BCA Constants'!$B$9</f>
        <v>2122526.2499999995</v>
      </c>
      <c r="BQ10" s="290">
        <f>BP10/(1.07^(A10-$A$7))</f>
        <v>1732613.6715201011</v>
      </c>
      <c r="BR10" s="289">
        <f>(((AZ10-BA10)*'BCA Constants'!$B$172)/1000000)*'BCA Constants'!B183*'BCA Constants'!$B$9</f>
        <v>13932.61286352002</v>
      </c>
      <c r="BS10" s="290">
        <f>BR10/(1.07^(A10-$A$7))</f>
        <v>11373.162300033566</v>
      </c>
      <c r="BT10" s="289">
        <f>(AZ10-BA10)*'BCA Constants'!B193*'BCA Constants'!$B$9*'BCA Constants'!$B$174/1000000</f>
        <v>1625.052564790202</v>
      </c>
      <c r="BU10" s="290">
        <f>BT10/(1.07^(A10-$A$7))</f>
        <v>1326.5269584742755</v>
      </c>
      <c r="BV10" s="289">
        <f>(AZ10-BA10)*'BCA Constants'!$B$176*'BCA Constants'!B203*'BCA Constants'!$B$9/1000000</f>
        <v>55637.088584376077</v>
      </c>
      <c r="BW10" s="290">
        <f>BV10/(1.07^(A10-$A$7))</f>
        <v>45416.43728781445</v>
      </c>
      <c r="BX10" s="289">
        <f>(AZ10-BA10)*'BCA Constants'!$B$178*'BCA Constants'!B213*'BCA Constants'!$B$9/1000000</f>
        <v>199239.95482794027</v>
      </c>
      <c r="BY10" s="290">
        <f>BX10/(1.03^(A10-$A$7))</f>
        <v>182332.78287068981</v>
      </c>
      <c r="BZ10" s="289">
        <f>(BF10-BG10)*'BCA Constants'!$B$248+('Project Benefit Calculations'!BH10-'Project Benefit Calculations'!BI10)*'BCA Constants'!$B$249+('Project Benefit Calculations'!BJ10-'Project Benefit Calculations'!BK10)*'BCA Constants'!$B$250</f>
        <v>4892.2813078665295</v>
      </c>
      <c r="CA10" s="290">
        <f t="shared" ref="CA10:CA40" si="0">BZ10/(1.07^(A10-$A$7))</f>
        <v>3993.5588447642485</v>
      </c>
      <c r="CB10" s="289">
        <f>(AZ10-BA10)*'BCA Constants'!B$30</f>
        <v>15537.459825000022</v>
      </c>
      <c r="CC10" s="290">
        <f>CB10/(1.07^($A10-$A$7))</f>
        <v>12683.195467424426</v>
      </c>
      <c r="CD10" s="289">
        <f>(BB10-BC10)*'BCA Constants'!B$13*'CCTA Output and Adj Factors'!$F$50*'CCTA Output and Adj Factors'!$F$2</f>
        <v>0</v>
      </c>
      <c r="CE10" s="290">
        <f>CD10/(1.07^($A10-$A$7))</f>
        <v>0</v>
      </c>
      <c r="CF10" s="289">
        <f>(BB10-BC10)*'BCA Constants'!B$15*(1-'CCTA Output and Adj Factors'!$F$50)*'CCTA Output and Adj Factors'!$F$2</f>
        <v>0</v>
      </c>
      <c r="CG10" s="290">
        <f>CF10/(1.07^($A10-$A$7))</f>
        <v>0</v>
      </c>
    </row>
    <row r="11" spans="1:85" x14ac:dyDescent="0.25">
      <c r="A11" s="199">
        <v>2024</v>
      </c>
      <c r="B11" s="200">
        <v>2</v>
      </c>
      <c r="C11" s="301">
        <v>4</v>
      </c>
      <c r="D11" s="336">
        <f>_xlfn.FORECAST.LINEAR(A11,'CCTA Output and Adj Factors'!$B$54:$D$54,'CCTA Output and Adj Factors'!$B$3:$D$3)*'CCTA Output and Adj Factors'!$F$2</f>
        <v>114433.90977443598</v>
      </c>
      <c r="E11" s="310"/>
      <c r="F11" s="258">
        <f>_xlfn.FORECAST.LINEAR(A11,'CCTA Output and Adj Factors'!$B$50:$D$50,'CCTA Output and Adj Factors'!$B$3:$D$3)*'CCTA Output and Adj Factors'!$F$2</f>
        <v>104605.18796992488</v>
      </c>
      <c r="G11" s="295">
        <f>'CCTA Output and Adj Factors'!$F$50*F11</f>
        <v>99374.928571428638</v>
      </c>
      <c r="H11" s="332">
        <f>_xlfn.FORECAST.LINEAR(A11,'CCTA Output and Adj Factors'!$B$51:$D$51,'CCTA Output and Adj Factors'!$B$3:$D$3)*'CCTA Output and Adj Factors'!$F$2</f>
        <v>4209.4360902255676</v>
      </c>
      <c r="I11" s="333"/>
      <c r="J11" s="332">
        <f>_xlfn.FORECAST.LINEAR(A11,'CCTA Output and Adj Factors'!$B$52:$D$52,'CCTA Output and Adj Factors'!$B$3:$D$3)*'CCTA Output and Adj Factors'!$F$2</f>
        <v>549.36090225563908</v>
      </c>
      <c r="K11" s="333"/>
      <c r="L11" s="332">
        <f>_xlfn.FORECAST.LINEAR(A11,'CCTA Output and Adj Factors'!$B$53:$D$53,'CCTA Output and Adj Factors'!$B$3:$D$3)*'CCTA Output and Adj Factors'!$F$2</f>
        <v>5069.9248120300799</v>
      </c>
      <c r="M11" s="295"/>
      <c r="N11" s="332">
        <f>_xlfn.FORECAST.LINEAR(A11,'CCTA Output and Adj Factors'!$B$48:$D$48,'CCTA Output and Adj Factors'!$B$3:$D$3)*'CCTA Output and Adj Factors'!$F$2</f>
        <v>29253.796992481257</v>
      </c>
      <c r="O11" s="333"/>
      <c r="P11" s="332">
        <f>_xlfn.FORECAST.LINEAR(A11,'CCTA Output and Adj Factors'!$B$44:$D$44,'CCTA Output and Adj Factors'!$B$3:$D$3)*'CCTA Output and Adj Factors'!$F$2</f>
        <v>25380.03759398494</v>
      </c>
      <c r="Q11" s="347">
        <f>P11-+(F11-G11)*'CCTA Output and Adj Factors'!$F$45</f>
        <v>22764.907894736818</v>
      </c>
      <c r="R11" s="332">
        <f>_xlfn.FORECAST.LINEAR(A11,'CCTA Output and Adj Factors'!$B$45:$D$45,'CCTA Output and Adj Factors'!$B$3:$D$3)*'CCTA Output and Adj Factors'!$F$2</f>
        <v>3718.1578947368357</v>
      </c>
      <c r="S11" s="347">
        <f>R11+(F11-G11)*'CCTA Output and Adj Factors'!$F$45</f>
        <v>6333.2875939849582</v>
      </c>
      <c r="T11" s="332">
        <f>_xlfn.FORECAST.LINEAR(A11,'CCTA Output and Adj Factors'!$C$46:$D$46,'CCTA Output and Adj Factors'!$C$3:$D$3)*'CCTA Output and Adj Factors'!$F$2</f>
        <v>61.764705882352864</v>
      </c>
      <c r="U11" s="333"/>
      <c r="V11" s="382">
        <f>'CCTA Output and Adj Factors'!$B$47*'CCTA Output and Adj Factors'!$F$2</f>
        <v>90</v>
      </c>
      <c r="W11" s="201"/>
      <c r="X11" s="260">
        <f>_xlfn.FORECAST.LINEAR(A11,'CCTA Output and Adj Factors'!$B$5:$D$5,'CCTA Output and Adj Factors'!$B$3:$D$3)*'CCTA Output and Adj Factors'!$F$2</f>
        <v>85180.112781954784</v>
      </c>
      <c r="Y11" s="259"/>
      <c r="Z11" s="260">
        <f>_xlfn.FORECAST.LINEAR(A11,'CCTA Output and Adj Factors'!$B$38:$D$38,'CCTA Output and Adj Factors'!$B$3:$D$3)*'CCTA Output and Adj Factors'!$F$2</f>
        <v>79225.150375939833</v>
      </c>
      <c r="AA11" s="262"/>
      <c r="AB11" s="284">
        <f>_xlfn.FORECAST.LINEAR(A11,'CCTA Output and Adj Factors'!$B$39:$D$39,'CCTA Output and Adj Factors'!$B$3:$D$3)*'CCTA Output and Adj Factors'!$F$2</f>
        <v>491.27819548872532</v>
      </c>
      <c r="AC11" s="261"/>
      <c r="AD11" s="260">
        <f>_xlfn.FORECAST.LINEAR(A11,'CCTA Output and Adj Factors'!$B$40:$D$40,'CCTA Output and Adj Factors'!$B$3:$D$3)*'CCTA Output and Adj Factors'!$F$2</f>
        <v>483.75939849624001</v>
      </c>
      <c r="AE11" s="262">
        <f>AD11+(F11-G11)*'CCTA Output and Adj Factors'!$F$40</f>
        <v>1791.324248120301</v>
      </c>
      <c r="AF11" s="258">
        <f>_xlfn.FORECAST.LINEAR(A11,'CCTA Output and Adj Factors'!$B$41:$D$41,'CCTA Output and Adj Factors'!$B$3:$D$3)*'CCTA Output and Adj Factors'!$F$2</f>
        <v>4979.9248120300799</v>
      </c>
      <c r="AG11" s="261">
        <f>AF11+(F11-G11)*'CCTA Output and Adj Factors'!$F$41</f>
        <v>6287.4896616541409</v>
      </c>
      <c r="AH11" s="258">
        <f>_xlfn.FORECAST.LINEAR(A11,'CCTA Output and Adj Factors'!$B$10:$D$10,'CCTA Output and Adj Factors'!$B$3:$D$3)</f>
        <v>156407.76942355931</v>
      </c>
      <c r="AI11" s="259"/>
      <c r="AJ11" s="258">
        <f>_xlfn.FORECAST.LINEAR(A11,'CCTA Output and Adj Factors'!$B$11:$D$11,'CCTA Output and Adj Factors'!$B$3:$D$3)</f>
        <v>207034.33583959891</v>
      </c>
      <c r="AK11" s="259"/>
      <c r="AL11" s="258">
        <f>_xlfn.FORECAST.LINEAR(A11,'CCTA Output and Adj Factors'!$B$12:$D$12,'CCTA Output and Adj Factors'!$B$3:$D$3)</f>
        <v>503274.81203007512</v>
      </c>
      <c r="AM11" s="259"/>
      <c r="AN11" s="258">
        <f>_xlfn.FORECAST.LINEAR(A11,'CCTA Output and Adj Factors'!$B$13:$D$13,'CCTA Output and Adj Factors'!$B$3:$D$3)</f>
        <v>999374.06015037745</v>
      </c>
      <c r="AO11" s="259"/>
      <c r="AP11" s="258">
        <f>_xlfn.FORECAST.LINEAR(A11,'CCTA Output and Adj Factors'!$B$14:$D$14,'CCTA Output and Adj Factors'!$B$3:$D$3)</f>
        <v>623513.78446115367</v>
      </c>
      <c r="AQ11" s="259"/>
      <c r="AR11" s="258">
        <f>_xlfn.FORECAST.LINEAR(A11,'CCTA Output and Adj Factors'!$B$15:$D$15,'CCTA Output and Adj Factors'!$B$3:$D$3)</f>
        <v>259594.61152882222</v>
      </c>
      <c r="AS11" s="259"/>
      <c r="AT11" s="258">
        <f>_xlfn.FORECAST.LINEAR(A11,'CCTA Output and Adj Factors'!$B$16:$D$16,'CCTA Output and Adj Factors'!$B$3:$D$3)</f>
        <v>90137.719298245618</v>
      </c>
      <c r="AU11" s="259"/>
      <c r="AV11" s="258">
        <f>_xlfn.FORECAST.LINEAR(A11,'CCTA Output and Adj Factors'!$B$60:$D$60,'CCTA Output and Adj Factors'!$B$3:$D$3)*'CCTA Output and Adj Factors'!$F$2</f>
        <v>364025.15037593991</v>
      </c>
      <c r="AW11" s="261">
        <f>AV11*'CCTA Output and Adj Factors'!$F$60</f>
        <v>0</v>
      </c>
      <c r="AX11" s="351">
        <f>_xlfn.FORECAST.LINEAR(A11,'CCTA Output and Adj Factors'!$C$61:$D$61,'CCTA Output and Adj Factors'!$C$3:$D$3)*'CCTA Output and Adj Factors'!$F$2</f>
        <v>332009.37</v>
      </c>
      <c r="AY11" s="261"/>
      <c r="AZ11" s="332">
        <f>_xlfn.FORECAST.LINEAR(A11,'CCTA Output and Adj Factors'!$C$62:$D$62,'CCTA Output and Adj Factors'!$C$3:$D$3)*'CCTA Output and Adj Factors'!$F$2</f>
        <v>696569.37</v>
      </c>
      <c r="BA11" s="262">
        <f>AZ11*'CCTA Output and Adj Factors'!$F$61</f>
        <v>661740.90149999992</v>
      </c>
      <c r="BB11" s="351">
        <v>8646628.5358210579</v>
      </c>
      <c r="BC11" s="261">
        <v>8646628.5358210579</v>
      </c>
      <c r="BD11" s="351">
        <v>307490.34622407751</v>
      </c>
      <c r="BE11" s="261">
        <v>307490.34622407751</v>
      </c>
      <c r="BF11" s="403">
        <f>(AZ11/1000000)*'BCA Constants'!$B$243</f>
        <v>0.47166662436935997</v>
      </c>
      <c r="BG11" s="404">
        <f>(BA11/1000000)*'BCA Constants'!$B$243</f>
        <v>0.4480832931508919</v>
      </c>
      <c r="BH11" s="403">
        <f>(AZ11/1000000)*'BCA Constants'!$B$244</f>
        <v>0.22611756261192001</v>
      </c>
      <c r="BI11" s="404">
        <f>(BA11/1000000)*'BCA Constants'!$B$244</f>
        <v>0.21481168448132396</v>
      </c>
      <c r="BJ11" s="422">
        <f>(AZ11/1000000)*'BCA Constants'!$B$245</f>
        <v>2.1893175299100001E-3</v>
      </c>
      <c r="BK11" s="416">
        <f>(BA11/1000000)*'BCA Constants'!$B$245</f>
        <v>2.0798516534144998E-3</v>
      </c>
      <c r="BL11" s="399">
        <f>(S11-R11)*'BCA Constants'!$B$81*'BCA Constants'!$B$9</f>
        <v>67993.372180451188</v>
      </c>
      <c r="BM11" s="261">
        <f>BL11/(1.07^(A11-$A$7))</f>
        <v>51871.818087431609</v>
      </c>
      <c r="BN11" s="284">
        <f>(AG11-AF11)*'BCA Constants'!$B$43*'BCA Constants'!$B$9</f>
        <v>2406965.3751879716</v>
      </c>
      <c r="BO11" s="261">
        <f t="shared" ref="BO11:BO40" si="1">BN11/(1.07^(A11-$A$7))</f>
        <v>1836262.3602950787</v>
      </c>
      <c r="BP11" s="284">
        <f>(AE11-AD11)*'BCA Constants'!$B$44*'BCA Constants'!$B$9</f>
        <v>2145190.8922932344</v>
      </c>
      <c r="BQ11" s="261">
        <f t="shared" ref="BQ11:BQ40" si="2">BP11/(1.07^(A11-$A$7))</f>
        <v>1636555.8606584668</v>
      </c>
      <c r="BR11" s="284">
        <f>(((AZ11-BA11)*'BCA Constants'!$B$172)/1000000)*'BCA Constants'!B184*'BCA Constants'!$B$9</f>
        <v>14229.658404234031</v>
      </c>
      <c r="BS11" s="261">
        <f t="shared" ref="BS11:BS40" si="3">BR11/(1.07^(A11-$A$7))</f>
        <v>10855.73826566197</v>
      </c>
      <c r="BT11" s="284">
        <f>(AZ11-BA11)*'BCA Constants'!B194*'BCA Constants'!$B$9*'BCA Constants'!$B$174/1000000</f>
        <v>1673.4382544880034</v>
      </c>
      <c r="BU11" s="261">
        <f t="shared" ref="BU11:BU40" si="4">BT11/(1.07^(A11-$A$7))</f>
        <v>1276.6580320060659</v>
      </c>
      <c r="BV11" s="284">
        <f>(AZ11-BA11)*'BCA Constants'!$B$176*'BCA Constants'!B204*'BCA Constants'!$B$9/1000000</f>
        <v>57092.49733168813</v>
      </c>
      <c r="BW11" s="261">
        <f t="shared" ref="BW11:BW40" si="5">BV11/(1.07^(A11-$A$7))</f>
        <v>43555.592858180986</v>
      </c>
      <c r="BX11" s="284">
        <f>(AZ11-BA11)*'BCA Constants'!$B$178*'BCA Constants'!B214*'BCA Constants'!$B$9/1000000</f>
        <v>204697.35791505044</v>
      </c>
      <c r="BY11" s="261">
        <f t="shared" ref="BY11:BY40" si="6">BX11/(1.03^(A11-$A$7))</f>
        <v>181870.95125008436</v>
      </c>
      <c r="BZ11" s="284">
        <f>(BF11-BG11)*'BCA Constants'!$B$248+('Project Benefit Calculations'!BH11-'Project Benefit Calculations'!BI11)*'BCA Constants'!$B$249+('Project Benefit Calculations'!BJ11-'Project Benefit Calculations'!BK11)*'BCA Constants'!$B$250</f>
        <v>4934.8992888466546</v>
      </c>
      <c r="CA11" s="261">
        <f t="shared" si="0"/>
        <v>3764.81103939785</v>
      </c>
      <c r="CB11" s="284">
        <f>(AZ11-BA11)*'BCA Constants'!B$30</f>
        <v>15672.810825000035</v>
      </c>
      <c r="CC11" s="261">
        <f t="shared" ref="CC11:CE40" si="7">CB11/(1.07^($A11-$A$7))</f>
        <v>11956.712337719151</v>
      </c>
      <c r="CD11" s="284">
        <f>(BB11-BC11)*'BCA Constants'!B$13*'CCTA Output and Adj Factors'!$F$50*'CCTA Output and Adj Factors'!$F$2</f>
        <v>0</v>
      </c>
      <c r="CE11" s="261">
        <f t="shared" si="7"/>
        <v>0</v>
      </c>
      <c r="CF11" s="284">
        <f>(BB11-BC11)*'BCA Constants'!B$15*(1-'CCTA Output and Adj Factors'!$F$50)*'CCTA Output and Adj Factors'!$F$2</f>
        <v>0</v>
      </c>
      <c r="CG11" s="261">
        <f t="shared" ref="CG11" si="8">CF11/(1.07^($A11-$A$7))</f>
        <v>0</v>
      </c>
    </row>
    <row r="12" spans="1:85" x14ac:dyDescent="0.25">
      <c r="A12" s="199">
        <v>2025</v>
      </c>
      <c r="B12" s="200">
        <v>3</v>
      </c>
      <c r="C12" s="301">
        <v>5</v>
      </c>
      <c r="D12" s="336">
        <f>_xlfn.FORECAST.LINEAR(A12,'CCTA Output and Adj Factors'!$B$54:$D$54,'CCTA Output and Adj Factors'!$B$3:$D$3)*'CCTA Output and Adj Factors'!$F$2</f>
        <v>115455.93984962381</v>
      </c>
      <c r="E12" s="310"/>
      <c r="F12" s="258">
        <f>_xlfn.FORECAST.LINEAR(A12,'CCTA Output and Adj Factors'!$B$50:$D$50,'CCTA Output and Adj Factors'!$B$3:$D$3)*'CCTA Output and Adj Factors'!$F$2</f>
        <v>105523.45864661649</v>
      </c>
      <c r="G12" s="295">
        <f>'CCTA Output and Adj Factors'!$F$50*F12</f>
        <v>100247.28571428567</v>
      </c>
      <c r="H12" s="332">
        <f>_xlfn.FORECAST.LINEAR(A12,'CCTA Output and Adj Factors'!$B$51:$D$51,'CCTA Output and Adj Factors'!$B$3:$D$3)*'CCTA Output and Adj Factors'!$F$2</f>
        <v>4259.624060150385</v>
      </c>
      <c r="I12" s="261"/>
      <c r="J12" s="332">
        <f>_xlfn.FORECAST.LINEAR(A12,'CCTA Output and Adj Factors'!$B$52:$D$52,'CCTA Output and Adj Factors'!$B$3:$D$3)*'CCTA Output and Adj Factors'!$F$2</f>
        <v>556.24060150375874</v>
      </c>
      <c r="K12" s="261"/>
      <c r="L12" s="332">
        <f>_xlfn.FORECAST.LINEAR(A12,'CCTA Output and Adj Factors'!$B$53:$D$53,'CCTA Output and Adj Factors'!$B$3:$D$3)*'CCTA Output and Adj Factors'!$F$2</f>
        <v>5116.616541353389</v>
      </c>
      <c r="M12" s="295"/>
      <c r="N12" s="332">
        <f>_xlfn.FORECAST.LINEAR(A12,'CCTA Output and Adj Factors'!$B$48:$D$48,'CCTA Output and Adj Factors'!$B$3:$D$3)*'CCTA Output and Adj Factors'!$F$2</f>
        <v>29445.864661654159</v>
      </c>
      <c r="O12" s="259"/>
      <c r="P12" s="332">
        <f>_xlfn.FORECAST.LINEAR(A12,'CCTA Output and Adj Factors'!$B$44:$D$44,'CCTA Output and Adj Factors'!$B$3:$D$3)*'CCTA Output and Adj Factors'!$F$2</f>
        <v>25536.691729323247</v>
      </c>
      <c r="Q12" s="347">
        <f>P12-+(F12-G12)*'CCTA Output and Adj Factors'!$F$45</f>
        <v>22898.605263157835</v>
      </c>
      <c r="R12" s="332">
        <f>_xlfn.FORECAST.LINEAR(A12,'CCTA Output and Adj Factors'!$B$45:$D$45,'CCTA Output and Adj Factors'!$B$3:$D$3)*'CCTA Output and Adj Factors'!$F$2</f>
        <v>3752.1052631578918</v>
      </c>
      <c r="S12" s="347">
        <f>R12+(F12-G12)*'CCTA Output and Adj Factors'!$F$45</f>
        <v>6390.1917293233037</v>
      </c>
      <c r="T12" s="332">
        <f>_xlfn.FORECAST.LINEAR(A12,'CCTA Output and Adj Factors'!$C$46:$D$46,'CCTA Output and Adj Factors'!$C$3:$D$3)*'CCTA Output and Adj Factors'!$F$2</f>
        <v>63.529411764705728</v>
      </c>
      <c r="U12" s="259"/>
      <c r="V12" s="382">
        <f>'CCTA Output and Adj Factors'!$B$47*'CCTA Output and Adj Factors'!$F$2</f>
        <v>90</v>
      </c>
      <c r="W12" s="201"/>
      <c r="X12" s="260">
        <f>_xlfn.FORECAST.LINEAR(A12,'CCTA Output and Adj Factors'!$B$5:$D$5,'CCTA Output and Adj Factors'!$B$3:$D$3)*'CCTA Output and Adj Factors'!$F$2</f>
        <v>86010.07518796988</v>
      </c>
      <c r="Y12" s="259"/>
      <c r="Z12" s="260">
        <f>_xlfn.FORECAST.LINEAR(A12,'CCTA Output and Adj Factors'!$B$38:$D$38,'CCTA Output and Adj Factors'!$B$3:$D$3)*'CCTA Output and Adj Factors'!$F$2</f>
        <v>79986.766917293062</v>
      </c>
      <c r="AA12" s="262"/>
      <c r="AB12" s="284">
        <f>_xlfn.FORECAST.LINEAR(A12,'CCTA Output and Adj Factors'!$B$39:$D$39,'CCTA Output and Adj Factors'!$B$3:$D$3)*'CCTA Output and Adj Factors'!$F$2</f>
        <v>507.51879699248587</v>
      </c>
      <c r="AC12" s="261"/>
      <c r="AD12" s="260">
        <f>_xlfn.FORECAST.LINEAR(A12,'CCTA Output and Adj Factors'!$B$40:$D$40,'CCTA Output and Adj Factors'!$B$3:$D$3)*'CCTA Output and Adj Factors'!$F$2</f>
        <v>489.17293233082626</v>
      </c>
      <c r="AE12" s="262">
        <f>AD12+(F12-G12)*'CCTA Output and Adj Factors'!$F$40</f>
        <v>1808.2161654135325</v>
      </c>
      <c r="AF12" s="258">
        <f>_xlfn.FORECAST.LINEAR(A12,'CCTA Output and Adj Factors'!$B$41:$D$41,'CCTA Output and Adj Factors'!$B$3:$D$3)*'CCTA Output and Adj Factors'!$F$2</f>
        <v>5026.616541353389</v>
      </c>
      <c r="AG12" s="261">
        <f>AF12+(F12-G12)*'CCTA Output and Adj Factors'!$F$41</f>
        <v>6345.6597744360952</v>
      </c>
      <c r="AH12" s="258">
        <f>_xlfn.FORECAST.LINEAR(A12,'CCTA Output and Adj Factors'!$B$10:$D$10,'CCTA Output and Adj Factors'!$B$3:$D$3)</f>
        <v>157682.95739348372</v>
      </c>
      <c r="AI12" s="259"/>
      <c r="AJ12" s="258">
        <f>_xlfn.FORECAST.LINEAR(A12,'CCTA Output and Adj Factors'!$B$11:$D$11,'CCTA Output and Adj Factors'!$B$3:$D$3)</f>
        <v>208711.77944862144</v>
      </c>
      <c r="AK12" s="259"/>
      <c r="AL12" s="258">
        <f>_xlfn.FORECAST.LINEAR(A12,'CCTA Output and Adj Factors'!$B$12:$D$12,'CCTA Output and Adj Factors'!$B$3:$D$3)</f>
        <v>507016.5413533831</v>
      </c>
      <c r="AM12" s="259"/>
      <c r="AN12" s="258">
        <f>_xlfn.FORECAST.LINEAR(A12,'CCTA Output and Adj Factors'!$B$13:$D$13,'CCTA Output and Adj Factors'!$B$3:$D$3)</f>
        <v>1009082.7067669183</v>
      </c>
      <c r="AO12" s="259"/>
      <c r="AP12" s="258">
        <f>_xlfn.FORECAST.LINEAR(A12,'CCTA Output and Adj Factors'!$B$14:$D$14,'CCTA Output and Adj Factors'!$B$3:$D$3)</f>
        <v>631053.63408521377</v>
      </c>
      <c r="AQ12" s="259"/>
      <c r="AR12" s="258">
        <f>_xlfn.FORECAST.LINEAR(A12,'CCTA Output and Adj Factors'!$B$15:$D$15,'CCTA Output and Adj Factors'!$B$3:$D$3)</f>
        <v>262240.85213032551</v>
      </c>
      <c r="AS12" s="259"/>
      <c r="AT12" s="258">
        <f>_xlfn.FORECAST.LINEAR(A12,'CCTA Output and Adj Factors'!$B$16:$D$16,'CCTA Output and Adj Factors'!$B$3:$D$3)</f>
        <v>91214.035087719327</v>
      </c>
      <c r="AU12" s="259"/>
      <c r="AV12" s="258">
        <f>_xlfn.FORECAST.LINEAR(A12,'CCTA Output and Adj Factors'!$B$60:$D$60,'CCTA Output and Adj Factors'!$B$3:$D$3)*'CCTA Output and Adj Factors'!$F$2</f>
        <v>367546.76691729337</v>
      </c>
      <c r="AW12" s="261">
        <f>AV12*'CCTA Output and Adj Factors'!$F$60</f>
        <v>0</v>
      </c>
      <c r="AX12" s="351">
        <f>_xlfn.FORECAST.LINEAR(A12,'CCTA Output and Adj Factors'!$C$61:$D$61,'CCTA Output and Adj Factors'!$C$3:$D$3)*'CCTA Output and Adj Factors'!$F$2</f>
        <v>334544.96999999997</v>
      </c>
      <c r="AY12" s="261"/>
      <c r="AZ12" s="332">
        <f>_xlfn.FORECAST.LINEAR(A12,'CCTA Output and Adj Factors'!$C$62:$D$62,'CCTA Output and Adj Factors'!$C$3:$D$3)*'CCTA Output and Adj Factors'!$F$2</f>
        <v>702584.97</v>
      </c>
      <c r="BA12" s="262">
        <f>AZ12*'CCTA Output and Adj Factors'!$F$61</f>
        <v>667455.72149999999</v>
      </c>
      <c r="BB12" s="351">
        <v>8733968.2180010695</v>
      </c>
      <c r="BC12" s="261">
        <v>8733968.2180010695</v>
      </c>
      <c r="BD12" s="351">
        <v>310596.30931725004</v>
      </c>
      <c r="BE12" s="261">
        <v>310596.30931725004</v>
      </c>
      <c r="BF12" s="403">
        <f>(AZ12/1000000)*'BCA Constants'!$B$243</f>
        <v>0.47573995556615994</v>
      </c>
      <c r="BG12" s="404">
        <f>(BA12/1000000)*'BCA Constants'!$B$243</f>
        <v>0.45195295778785194</v>
      </c>
      <c r="BH12" s="403">
        <f>(AZ12/1000000)*'BCA Constants'!$B$244</f>
        <v>0.22807032262151999</v>
      </c>
      <c r="BI12" s="404">
        <f>(BA12/1000000)*'BCA Constants'!$B$244</f>
        <v>0.21666680649044401</v>
      </c>
      <c r="BJ12" s="422">
        <f>(AZ12/1000000)*'BCA Constants'!$B$245</f>
        <v>2.2082245607100001E-3</v>
      </c>
      <c r="BK12" s="416">
        <f>(BA12/1000000)*'BCA Constants'!$B$245</f>
        <v>2.0978133326744999E-3</v>
      </c>
      <c r="BL12" s="399">
        <f>(S12-R12)*'BCA Constants'!$B$81*'BCA Constants'!$B$9</f>
        <v>68590.248120300705</v>
      </c>
      <c r="BM12" s="261">
        <f>BL12/(1.07^(A12-$A$7))</f>
        <v>48903.898957130063</v>
      </c>
      <c r="BN12" s="284">
        <f>(AG12-AF12)*'BCA Constants'!$B$43*'BCA Constants'!$B$9</f>
        <v>2428094.7834586455</v>
      </c>
      <c r="BO12" s="261">
        <f t="shared" si="1"/>
        <v>1731198.0230824046</v>
      </c>
      <c r="BP12" s="284">
        <f>(AE12-AD12)*'BCA Constants'!$B$44*'BCA Constants'!$B$9</f>
        <v>2164022.3281954876</v>
      </c>
      <c r="BQ12" s="261">
        <f t="shared" si="2"/>
        <v>1542918.0120974537</v>
      </c>
      <c r="BR12" s="284">
        <f>(((AZ12-BA12)*'BCA Constants'!$B$172)/1000000)*'BCA Constants'!B185*'BCA Constants'!$B$9</f>
        <v>14618.334178304995</v>
      </c>
      <c r="BS12" s="261">
        <f t="shared" si="3"/>
        <v>10422.670236205209</v>
      </c>
      <c r="BT12" s="284">
        <f>(AZ12-BA12)*'BCA Constants'!B195*'BCA Constants'!$B$9*'BCA Constants'!$B$174/1000000</f>
        <v>1722.415157353799</v>
      </c>
      <c r="BU12" s="261">
        <f t="shared" si="4"/>
        <v>1228.0582025264466</v>
      </c>
      <c r="BV12" s="284">
        <f>(AZ12-BA12)*'BCA Constants'!$B$176*'BCA Constants'!B205*'BCA Constants'!$B$9/1000000</f>
        <v>58579.286526695985</v>
      </c>
      <c r="BW12" s="261">
        <f t="shared" si="5"/>
        <v>41766.221697548099</v>
      </c>
      <c r="BX12" s="284">
        <f>(AZ12-BA12)*'BCA Constants'!$B$178*'BCA Constants'!B215*'BCA Constants'!$B$9/1000000</f>
        <v>210219.0437037599</v>
      </c>
      <c r="BY12" s="261">
        <f t="shared" si="6"/>
        <v>181336.7937437018</v>
      </c>
      <c r="BZ12" s="284">
        <f>(BF12-BG12)*'BCA Constants'!$B$248+('Project Benefit Calculations'!BH12-'Project Benefit Calculations'!BI12)*'BCA Constants'!$B$249+('Project Benefit Calculations'!BJ12-'Project Benefit Calculations'!BK12)*'BCA Constants'!$B$250</f>
        <v>4977.5172698267397</v>
      </c>
      <c r="CA12" s="261">
        <f t="shared" si="0"/>
        <v>3548.9010215277467</v>
      </c>
      <c r="CB12" s="284">
        <f>(AZ12-BA12)*'BCA Constants'!B$30</f>
        <v>15808.161824999994</v>
      </c>
      <c r="CC12" s="261">
        <f t="shared" si="7"/>
        <v>11271.000904266321</v>
      </c>
      <c r="CD12" s="284">
        <f>(BB12-BC12)*'BCA Constants'!B$13*'CCTA Output and Adj Factors'!$F$50*'CCTA Output and Adj Factors'!$F$2</f>
        <v>0</v>
      </c>
      <c r="CE12" s="261">
        <f t="shared" si="7"/>
        <v>0</v>
      </c>
      <c r="CF12" s="284">
        <f>(BB12-BC12)*'BCA Constants'!B$15*(1-'CCTA Output and Adj Factors'!$F$50)*'CCTA Output and Adj Factors'!$F$2</f>
        <v>0</v>
      </c>
      <c r="CG12" s="261">
        <f t="shared" ref="CG12" si="9">CF12/(1.07^($A12-$A$7))</f>
        <v>0</v>
      </c>
    </row>
    <row r="13" spans="1:85" x14ac:dyDescent="0.25">
      <c r="A13" s="199">
        <v>2026</v>
      </c>
      <c r="B13" s="200">
        <v>0</v>
      </c>
      <c r="C13" s="301">
        <v>6</v>
      </c>
      <c r="D13" s="336">
        <f>_xlfn.FORECAST.LINEAR(A13,'CCTA Output and Adj Factors'!$B$54:$D$54,'CCTA Output and Adj Factors'!$B$3:$D$3)*'CCTA Output and Adj Factors'!$F$2</f>
        <v>116477.96992481164</v>
      </c>
      <c r="E13" s="310"/>
      <c r="F13" s="258">
        <f>_xlfn.FORECAST.LINEAR(A13,'CCTA Output and Adj Factors'!$B$50:$D$50,'CCTA Output and Adj Factors'!$B$3:$D$3)*'CCTA Output and Adj Factors'!$F$2</f>
        <v>106441.72932330832</v>
      </c>
      <c r="G13" s="295">
        <f>'CCTA Output and Adj Factors'!$F$50*F13</f>
        <v>101119.6428571429</v>
      </c>
      <c r="H13" s="332">
        <f>_xlfn.FORECAST.LINEAR(A13,'CCTA Output and Adj Factors'!$B$51:$D$51,'CCTA Output and Adj Factors'!$B$3:$D$3)*'CCTA Output and Adj Factors'!$F$2</f>
        <v>4309.8120300752016</v>
      </c>
      <c r="I13" s="261"/>
      <c r="J13" s="332">
        <f>_xlfn.FORECAST.LINEAR(A13,'CCTA Output and Adj Factors'!$B$52:$D$52,'CCTA Output and Adj Factors'!$B$3:$D$3)*'CCTA Output and Adj Factors'!$F$2</f>
        <v>563.12030075188022</v>
      </c>
      <c r="K13" s="261"/>
      <c r="L13" s="332">
        <f>_xlfn.FORECAST.LINEAR(A13,'CCTA Output and Adj Factors'!$B$53:$D$53,'CCTA Output and Adj Factors'!$B$3:$D$3)*'CCTA Output and Adj Factors'!$F$2</f>
        <v>5163.3082706766854</v>
      </c>
      <c r="M13" s="295"/>
      <c r="N13" s="332">
        <f>_xlfn.FORECAST.LINEAR(A13,'CCTA Output and Adj Factors'!$B$48:$D$48,'CCTA Output and Adj Factors'!$B$3:$D$3)*'CCTA Output and Adj Factors'!$F$2</f>
        <v>29637.932330827116</v>
      </c>
      <c r="O13" s="259"/>
      <c r="P13" s="332">
        <f>_xlfn.FORECAST.LINEAR(A13,'CCTA Output and Adj Factors'!$B$44:$D$44,'CCTA Output and Adj Factors'!$B$3:$D$3)*'CCTA Output and Adj Factors'!$F$2</f>
        <v>25693.345864661613</v>
      </c>
      <c r="Q13" s="347">
        <f>P13-+(F13-G13)*'CCTA Output and Adj Factors'!$F$45</f>
        <v>23032.302631578903</v>
      </c>
      <c r="R13" s="332">
        <f>_xlfn.FORECAST.LINEAR(A13,'CCTA Output and Adj Factors'!$B$45:$D$45,'CCTA Output and Adj Factors'!$B$3:$D$3)*'CCTA Output and Adj Factors'!$F$2</f>
        <v>3786.0526315789484</v>
      </c>
      <c r="S13" s="347">
        <f>R13+(F13-G13)*'CCTA Output and Adj Factors'!$F$45</f>
        <v>6447.0958646616582</v>
      </c>
      <c r="T13" s="332">
        <f>_xlfn.FORECAST.LINEAR(A13,'CCTA Output and Adj Factors'!$C$46:$D$46,'CCTA Output and Adj Factors'!$C$3:$D$3)*'CCTA Output and Adj Factors'!$F$2</f>
        <v>65.294117647058584</v>
      </c>
      <c r="U13" s="259"/>
      <c r="V13" s="382">
        <f>'CCTA Output and Adj Factors'!$B$47*'CCTA Output and Adj Factors'!$F$2</f>
        <v>90</v>
      </c>
      <c r="W13" s="201"/>
      <c r="X13" s="260">
        <f>_xlfn.FORECAST.LINEAR(A13,'CCTA Output and Adj Factors'!$B$5:$D$5,'CCTA Output and Adj Factors'!$B$3:$D$3)*'CCTA Output and Adj Factors'!$F$2</f>
        <v>86840.037593984976</v>
      </c>
      <c r="Y13" s="259"/>
      <c r="Z13" s="260">
        <f>_xlfn.FORECAST.LINEAR(A13,'CCTA Output and Adj Factors'!$B$38:$D$38,'CCTA Output and Adj Factors'!$B$3:$D$3)*'CCTA Output and Adj Factors'!$F$2</f>
        <v>80748.383458646538</v>
      </c>
      <c r="AA13" s="262"/>
      <c r="AB13" s="284">
        <f>_xlfn.FORECAST.LINEAR(A13,'CCTA Output and Adj Factors'!$B$39:$D$39,'CCTA Output and Adj Factors'!$B$3:$D$3)*'CCTA Output and Adj Factors'!$F$2</f>
        <v>523.75939849624638</v>
      </c>
      <c r="AC13" s="261"/>
      <c r="AD13" s="260">
        <f>_xlfn.FORECAST.LINEAR(A13,'CCTA Output and Adj Factors'!$B$40:$D$40,'CCTA Output and Adj Factors'!$B$3:$D$3)*'CCTA Output and Adj Factors'!$F$2</f>
        <v>494.58646616541432</v>
      </c>
      <c r="AE13" s="262">
        <f>AD13+(F13-G13)*'CCTA Output and Adj Factors'!$F$40</f>
        <v>1825.1080827067692</v>
      </c>
      <c r="AF13" s="258">
        <f>_xlfn.FORECAST.LINEAR(A13,'CCTA Output and Adj Factors'!$B$41:$D$41,'CCTA Output and Adj Factors'!$B$3:$D$3)*'CCTA Output and Adj Factors'!$F$2</f>
        <v>5073.3082706766854</v>
      </c>
      <c r="AG13" s="261">
        <f>AF13+(F13-G13)*'CCTA Output and Adj Factors'!$F$41</f>
        <v>6403.8298872180403</v>
      </c>
      <c r="AH13" s="258">
        <f>_xlfn.FORECAST.LINEAR(A13,'CCTA Output and Adj Factors'!$B$10:$D$10,'CCTA Output and Adj Factors'!$B$3:$D$3)</f>
        <v>158958.14536340861</v>
      </c>
      <c r="AI13" s="259"/>
      <c r="AJ13" s="258">
        <f>_xlfn.FORECAST.LINEAR(A13,'CCTA Output and Adj Factors'!$B$11:$D$11,'CCTA Output and Adj Factors'!$B$3:$D$3)</f>
        <v>210389.22305764398</v>
      </c>
      <c r="AK13" s="259"/>
      <c r="AL13" s="258">
        <f>_xlfn.FORECAST.LINEAR(A13,'CCTA Output and Adj Factors'!$B$12:$D$12,'CCTA Output and Adj Factors'!$B$3:$D$3)</f>
        <v>510758.27067669109</v>
      </c>
      <c r="AM13" s="259"/>
      <c r="AN13" s="258">
        <f>_xlfn.FORECAST.LINEAR(A13,'CCTA Output and Adj Factors'!$B$13:$D$13,'CCTA Output and Adj Factors'!$B$3:$D$3)</f>
        <v>1018791.3533834592</v>
      </c>
      <c r="AO13" s="259"/>
      <c r="AP13" s="258">
        <f>_xlfn.FORECAST.LINEAR(A13,'CCTA Output and Adj Factors'!$B$14:$D$14,'CCTA Output and Adj Factors'!$B$3:$D$3)</f>
        <v>638593.48370927386</v>
      </c>
      <c r="AQ13" s="259"/>
      <c r="AR13" s="258">
        <f>_xlfn.FORECAST.LINEAR(A13,'CCTA Output and Adj Factors'!$B$15:$D$15,'CCTA Output and Adj Factors'!$B$3:$D$3)</f>
        <v>264887.09273182973</v>
      </c>
      <c r="AS13" s="259"/>
      <c r="AT13" s="258">
        <f>_xlfn.FORECAST.LINEAR(A13,'CCTA Output and Adj Factors'!$B$16:$D$16,'CCTA Output and Adj Factors'!$B$3:$D$3)</f>
        <v>92290.350877193036</v>
      </c>
      <c r="AU13" s="259"/>
      <c r="AV13" s="258">
        <f>_xlfn.FORECAST.LINEAR(A13,'CCTA Output and Adj Factors'!$B$60:$D$60,'CCTA Output and Adj Factors'!$B$3:$D$3)*'CCTA Output and Adj Factors'!$F$2</f>
        <v>371068.38345864683</v>
      </c>
      <c r="AW13" s="261">
        <f>AV13*'CCTA Output and Adj Factors'!$F$60</f>
        <v>0</v>
      </c>
      <c r="AX13" s="351">
        <f>_xlfn.FORECAST.LINEAR(A13,'CCTA Output and Adj Factors'!$C$61:$D$61,'CCTA Output and Adj Factors'!$C$3:$D$3)*'CCTA Output and Adj Factors'!$F$2</f>
        <v>337080.57</v>
      </c>
      <c r="AY13" s="261"/>
      <c r="AZ13" s="332">
        <f>_xlfn.FORECAST.LINEAR(A13,'CCTA Output and Adj Factors'!$C$62:$D$62,'CCTA Output and Adj Factors'!$C$3:$D$3)*'CCTA Output and Adj Factors'!$F$2</f>
        <v>708600.57</v>
      </c>
      <c r="BA13" s="262">
        <f>AZ13*'CCTA Output and Adj Factors'!$F$61</f>
        <v>673170.54149999993</v>
      </c>
      <c r="BB13" s="351">
        <v>8822190.1191929989</v>
      </c>
      <c r="BC13" s="261">
        <v>8822190.1191929989</v>
      </c>
      <c r="BD13" s="351">
        <v>313733.64577499998</v>
      </c>
      <c r="BE13" s="261">
        <v>313733.64577499998</v>
      </c>
      <c r="BF13" s="403">
        <f>(AZ13/1000000)*'BCA Constants'!$B$243</f>
        <v>0.47981328676295998</v>
      </c>
      <c r="BG13" s="404">
        <f>(BA13/1000000)*'BCA Constants'!$B$243</f>
        <v>0.45582262242481186</v>
      </c>
      <c r="BH13" s="403">
        <f>(AZ13/1000000)*'BCA Constants'!$B$244</f>
        <v>0.23002308263112001</v>
      </c>
      <c r="BI13" s="404">
        <f>(BA13/1000000)*'BCA Constants'!$B$244</f>
        <v>0.21852192849956398</v>
      </c>
      <c r="BJ13" s="422">
        <f>(AZ13/1000000)*'BCA Constants'!$B$245</f>
        <v>2.2271315915100001E-3</v>
      </c>
      <c r="BK13" s="416">
        <f>(BA13/1000000)*'BCA Constants'!$B$245</f>
        <v>2.1157750119344997E-3</v>
      </c>
      <c r="BL13" s="399">
        <f>(S13-R13)*'BCA Constants'!$B$81*'BCA Constants'!$B$9</f>
        <v>69187.124060150454</v>
      </c>
      <c r="BM13" s="261">
        <f t="shared" ref="BM13:BM40" si="10">BL13/(1.07^(A13-$A$7))</f>
        <v>46102.30210570959</v>
      </c>
      <c r="BN13" s="284">
        <f>(AG13-AF13)*'BCA Constants'!$B$43*'BCA Constants'!$B$9</f>
        <v>2449224.1917293263</v>
      </c>
      <c r="BO13" s="261">
        <f t="shared" si="1"/>
        <v>1632021.4945421198</v>
      </c>
      <c r="BP13" s="284">
        <f>(AE13-AD13)*'BCA Constants'!$B$44*'BCA Constants'!$B$9</f>
        <v>2182853.7640977465</v>
      </c>
      <c r="BQ13" s="261">
        <f t="shared" si="2"/>
        <v>1454527.6314351375</v>
      </c>
      <c r="BR13" s="284">
        <f>(((AZ13-BA13)*'BCA Constants'!$B$172)/1000000)*'BCA Constants'!B186*'BCA Constants'!$B$9</f>
        <v>15011.561355336005</v>
      </c>
      <c r="BS13" s="261">
        <f t="shared" si="3"/>
        <v>10002.837176472614</v>
      </c>
      <c r="BT13" s="284">
        <f>(AZ13-BA13)*'BCA Constants'!B196*'BCA Constants'!$B$9*'BCA Constants'!$B$174/1000000</f>
        <v>1768.1143142754006</v>
      </c>
      <c r="BU13" s="261">
        <f t="shared" si="4"/>
        <v>1178.1692241360786</v>
      </c>
      <c r="BV13" s="284">
        <f>(AZ13-BA13)*'BCA Constants'!$B$176*'BCA Constants'!B206*'BCA Constants'!$B$9/1000000</f>
        <v>60024.137083560017</v>
      </c>
      <c r="BW13" s="261">
        <f t="shared" si="5"/>
        <v>39996.61698692658</v>
      </c>
      <c r="BX13" s="284">
        <f>(AZ13-BA13)*'BCA Constants'!$B$178*'BCA Constants'!B216*'BCA Constants'!$B$9/1000000</f>
        <v>215805.01219407009</v>
      </c>
      <c r="BY13" s="261">
        <f t="shared" si="6"/>
        <v>180733.30022595776</v>
      </c>
      <c r="BZ13" s="284">
        <f>(BF13-BG13)*'BCA Constants'!$B$248+('Project Benefit Calculations'!BH13-'Project Benefit Calculations'!BI13)*'BCA Constants'!$B$249+('Project Benefit Calculations'!BJ13-'Project Benefit Calculations'!BK13)*'BCA Constants'!$B$250</f>
        <v>5020.1352508068649</v>
      </c>
      <c r="CA13" s="261">
        <f t="shared" si="0"/>
        <v>3345.1280868823123</v>
      </c>
      <c r="CB13" s="284">
        <f>(AZ13-BA13)*'BCA Constants'!B$30</f>
        <v>15943.512825000007</v>
      </c>
      <c r="CC13" s="261">
        <f t="shared" si="7"/>
        <v>10623.835791257592</v>
      </c>
      <c r="CD13" s="284">
        <f>(BB13-BC13)*'BCA Constants'!B$13*'CCTA Output and Adj Factors'!$F$50*'CCTA Output and Adj Factors'!$F$2</f>
        <v>0</v>
      </c>
      <c r="CE13" s="261">
        <f t="shared" si="7"/>
        <v>0</v>
      </c>
      <c r="CF13" s="284">
        <f>(BB13-BC13)*'BCA Constants'!B$15*(1-'CCTA Output and Adj Factors'!$F$50)*'CCTA Output and Adj Factors'!$F$2</f>
        <v>0</v>
      </c>
      <c r="CG13" s="261">
        <f t="shared" ref="CG13" si="11">CF13/(1.07^($A13-$A$7))</f>
        <v>0</v>
      </c>
    </row>
    <row r="14" spans="1:85" x14ac:dyDescent="0.25">
      <c r="A14" s="204">
        <v>2027</v>
      </c>
      <c r="B14" s="205">
        <v>1</v>
      </c>
      <c r="C14" s="302">
        <v>7</v>
      </c>
      <c r="D14" s="336">
        <f>_xlfn.FORECAST.LINEAR(A14,'CCTA Output and Adj Factors'!$B$54:$D$54,'CCTA Output and Adj Factors'!$B$3:$D$3)*'CCTA Output and Adj Factors'!$F$2</f>
        <v>117499.99999999993</v>
      </c>
      <c r="E14" s="311"/>
      <c r="F14" s="258">
        <f>_xlfn.FORECAST.LINEAR(A14,'CCTA Output and Adj Factors'!$B$50:$D$50,'CCTA Output and Adj Factors'!$B$3:$D$3)*'CCTA Output and Adj Factors'!$F$2</f>
        <v>107359.99999999993</v>
      </c>
      <c r="G14" s="295">
        <f>'CCTA Output and Adj Factors'!$F$50*F14</f>
        <v>101991.99999999993</v>
      </c>
      <c r="H14" s="332">
        <f>_xlfn.FORECAST.LINEAR(A14,'CCTA Output and Adj Factors'!$B$51:$D$51,'CCTA Output and Adj Factors'!$B$3:$D$3)*'CCTA Output and Adj Factors'!$F$2</f>
        <v>4360.0000000000045</v>
      </c>
      <c r="I14" s="261"/>
      <c r="J14" s="332">
        <f>_xlfn.FORECAST.LINEAR(A14,'CCTA Output and Adj Factors'!$B$52:$D$52,'CCTA Output and Adj Factors'!$B$3:$D$3)*'CCTA Output and Adj Factors'!$F$2</f>
        <v>570</v>
      </c>
      <c r="K14" s="261"/>
      <c r="L14" s="332">
        <f>_xlfn.FORECAST.LINEAR(A14,'CCTA Output and Adj Factors'!$B$53:$D$53,'CCTA Output and Adj Factors'!$B$3:$D$3)*'CCTA Output and Adj Factors'!$F$2</f>
        <v>5209.9999999999955</v>
      </c>
      <c r="M14" s="295"/>
      <c r="N14" s="332">
        <f>_xlfn.FORECAST.LINEAR(A14,'CCTA Output and Adj Factors'!$B$48:$D$48,'CCTA Output and Adj Factors'!$B$3:$D$3)*'CCTA Output and Adj Factors'!$F$2</f>
        <v>29830.000000000018</v>
      </c>
      <c r="O14" s="261"/>
      <c r="P14" s="332">
        <f>_xlfn.FORECAST.LINEAR(A14,'CCTA Output and Adj Factors'!$B$44:$D$44,'CCTA Output and Adj Factors'!$B$3:$D$3)*'CCTA Output and Adj Factors'!$F$2</f>
        <v>25849.999999999982</v>
      </c>
      <c r="Q14" s="347">
        <f>P14-+(F14-G14)*'CCTA Output and Adj Factors'!$F$45</f>
        <v>23165.999999999982</v>
      </c>
      <c r="R14" s="332">
        <f>_xlfn.FORECAST.LINEAR(A14,'CCTA Output and Adj Factors'!$B$45:$D$45,'CCTA Output and Adj Factors'!$B$3:$D$3)*'CCTA Output and Adj Factors'!$F$2</f>
        <v>3820.0000000000045</v>
      </c>
      <c r="S14" s="347">
        <f>R14+(F14-G14)*'CCTA Output and Adj Factors'!$F$45</f>
        <v>6504.0000000000045</v>
      </c>
      <c r="T14" s="332">
        <f>_xlfn.FORECAST.LINEAR(A14,'CCTA Output and Adj Factors'!$C$46:$D$46,'CCTA Output and Adj Factors'!$C$3:$D$3)*'CCTA Output and Adj Factors'!$F$2</f>
        <v>67.058823529411455</v>
      </c>
      <c r="U14" s="261"/>
      <c r="V14" s="382">
        <f>'CCTA Output and Adj Factors'!$B$47*'CCTA Output and Adj Factors'!$F$2</f>
        <v>90</v>
      </c>
      <c r="W14" s="206"/>
      <c r="X14" s="260">
        <f>_xlfn.FORECAST.LINEAR(A14,'CCTA Output and Adj Factors'!$B$5:$D$5,'CCTA Output and Adj Factors'!$B$3:$D$3)*'CCTA Output and Adj Factors'!$F$2</f>
        <v>87670.000000000073</v>
      </c>
      <c r="Y14" s="261"/>
      <c r="Z14" s="260">
        <f>_xlfn.FORECAST.LINEAR(A14,'CCTA Output and Adj Factors'!$B$38:$D$38,'CCTA Output and Adj Factors'!$B$3:$D$3)*'CCTA Output and Adj Factors'!$F$2</f>
        <v>81510</v>
      </c>
      <c r="AA14" s="262"/>
      <c r="AB14" s="284">
        <f>_xlfn.FORECAST.LINEAR(A14,'CCTA Output and Adj Factors'!$B$39:$D$39,'CCTA Output and Adj Factors'!$B$3:$D$3)*'CCTA Output and Adj Factors'!$F$2</f>
        <v>540</v>
      </c>
      <c r="AC14" s="261"/>
      <c r="AD14" s="260">
        <f>_xlfn.FORECAST.LINEAR(A14,'CCTA Output and Adj Factors'!$B$40:$D$40,'CCTA Output and Adj Factors'!$B$3:$D$3)*'CCTA Output and Adj Factors'!$F$2</f>
        <v>500.00000000000057</v>
      </c>
      <c r="AE14" s="262">
        <f>AD14+(F14-G14)*'CCTA Output and Adj Factors'!$F$40</f>
        <v>1842.0000000000005</v>
      </c>
      <c r="AF14" s="258">
        <f>_xlfn.FORECAST.LINEAR(A14,'CCTA Output and Adj Factors'!$B$41:$D$41,'CCTA Output and Adj Factors'!$B$3:$D$3)*'CCTA Output and Adj Factors'!$F$2</f>
        <v>5119.9999999999955</v>
      </c>
      <c r="AG14" s="261">
        <f>AF14+(F14-G14)*'CCTA Output and Adj Factors'!$F$41</f>
        <v>6461.9999999999955</v>
      </c>
      <c r="AH14" s="258">
        <f>_xlfn.FORECAST.LINEAR(A14,'CCTA Output and Adj Factors'!$B$10:$D$10,'CCTA Output and Adj Factors'!$B$3:$D$3)</f>
        <v>160233.33333333349</v>
      </c>
      <c r="AI14" s="261"/>
      <c r="AJ14" s="258">
        <f>_xlfn.FORECAST.LINEAR(A14,'CCTA Output and Adj Factors'!$B$11:$D$11,'CCTA Output and Adj Factors'!$B$3:$D$3)</f>
        <v>212066.66666666651</v>
      </c>
      <c r="AK14" s="261"/>
      <c r="AL14" s="258">
        <f>_xlfn.FORECAST.LINEAR(A14,'CCTA Output and Adj Factors'!$B$12:$D$12,'CCTA Output and Adj Factors'!$B$3:$D$3)</f>
        <v>514500</v>
      </c>
      <c r="AM14" s="261"/>
      <c r="AN14" s="258">
        <f>_xlfn.FORECAST.LINEAR(A14,'CCTA Output and Adj Factors'!$B$13:$D$13,'CCTA Output and Adj Factors'!$B$3:$D$3)</f>
        <v>1028500</v>
      </c>
      <c r="AO14" s="261"/>
      <c r="AP14" s="258">
        <f>_xlfn.FORECAST.LINEAR(A14,'CCTA Output and Adj Factors'!$B$14:$D$14,'CCTA Output and Adj Factors'!$B$3:$D$3)</f>
        <v>646133.33333333395</v>
      </c>
      <c r="AQ14" s="261"/>
      <c r="AR14" s="258">
        <f>_xlfn.FORECAST.LINEAR(A14,'CCTA Output and Adj Factors'!$B$15:$D$15,'CCTA Output and Adj Factors'!$B$3:$D$3)</f>
        <v>267533.33333333302</v>
      </c>
      <c r="AS14" s="261"/>
      <c r="AT14" s="258">
        <f>_xlfn.FORECAST.LINEAR(A14,'CCTA Output and Adj Factors'!$B$16:$D$16,'CCTA Output and Adj Factors'!$B$3:$D$3)</f>
        <v>93366.666666666744</v>
      </c>
      <c r="AU14" s="261"/>
      <c r="AV14" s="258">
        <f>_xlfn.FORECAST.LINEAR(A14,'CCTA Output and Adj Factors'!$B$60:$D$60,'CCTA Output and Adj Factors'!$B$3:$D$3)*'CCTA Output and Adj Factors'!$F$2</f>
        <v>374590.00000000029</v>
      </c>
      <c r="AW14" s="261">
        <f>AV14*'CCTA Output and Adj Factors'!$F$60</f>
        <v>0</v>
      </c>
      <c r="AX14" s="351">
        <f>_xlfn.FORECAST.LINEAR(A14,'CCTA Output and Adj Factors'!$C$61:$D$61,'CCTA Output and Adj Factors'!$C$3:$D$3)*'CCTA Output and Adj Factors'!$F$2</f>
        <v>339616.17</v>
      </c>
      <c r="AY14" s="261"/>
      <c r="AZ14" s="332">
        <f>_xlfn.FORECAST.LINEAR(A14,'CCTA Output and Adj Factors'!$C$62:$D$62,'CCTA Output and Adj Factors'!$C$3:$D$3)*'CCTA Output and Adj Factors'!$F$2</f>
        <v>714616.16999999993</v>
      </c>
      <c r="BA14" s="262">
        <f>AZ14*'CCTA Output and Adj Factors'!$F$61</f>
        <v>678885.36149999988</v>
      </c>
      <c r="BB14" s="351">
        <v>8911303.1506999992</v>
      </c>
      <c r="BC14" s="261">
        <v>6882113.9673999995</v>
      </c>
      <c r="BD14" s="351">
        <v>316902.67249999999</v>
      </c>
      <c r="BE14" s="261">
        <v>244740.89500000005</v>
      </c>
      <c r="BF14" s="403">
        <f>(AZ14/1000000)*'BCA Constants'!$B$243</f>
        <v>0.4838866179597599</v>
      </c>
      <c r="BG14" s="404">
        <f>(BA14/1000000)*'BCA Constants'!$B$243</f>
        <v>0.4596922870617719</v>
      </c>
      <c r="BH14" s="403">
        <f>(AZ14/1000000)*'BCA Constants'!$B$244</f>
        <v>0.23197584264071996</v>
      </c>
      <c r="BI14" s="404">
        <f>(BA14/1000000)*'BCA Constants'!$B$244</f>
        <v>0.22037705050868397</v>
      </c>
      <c r="BJ14" s="422">
        <f>(AZ14/1000000)*'BCA Constants'!$B$245</f>
        <v>2.2460386223099997E-3</v>
      </c>
      <c r="BK14" s="416">
        <f>(BA14/1000000)*'BCA Constants'!$B$245</f>
        <v>2.1337366911944994E-3</v>
      </c>
      <c r="BL14" s="399">
        <f>(S14-R14)*'BCA Constants'!$B$81*'BCA Constants'!$B$9</f>
        <v>69784.000000000015</v>
      </c>
      <c r="BM14" s="261">
        <f t="shared" si="10"/>
        <v>43457.967987674318</v>
      </c>
      <c r="BN14" s="284">
        <f>(AG14-AF14)*'BCA Constants'!$B$43*'BCA Constants'!$B$9</f>
        <v>2470353.6</v>
      </c>
      <c r="BO14" s="261">
        <f t="shared" si="1"/>
        <v>1538412.0667636704</v>
      </c>
      <c r="BP14" s="284">
        <f>(AE14-AD14)*'BCA Constants'!$B$44*'BCA Constants'!$B$9</f>
        <v>2201685.1999999997</v>
      </c>
      <c r="BQ14" s="261">
        <f t="shared" si="2"/>
        <v>1371098.8900111241</v>
      </c>
      <c r="BR14" s="284">
        <f>(((AZ14-BA14)*'BCA Constants'!$B$172)/1000000)*'BCA Constants'!B187*'BCA Constants'!$B$9</f>
        <v>15409.33993532702</v>
      </c>
      <c r="BS14" s="261">
        <f t="shared" si="3"/>
        <v>9596.1624673368242</v>
      </c>
      <c r="BT14" s="284">
        <f>(AZ14-BA14)*'BCA Constants'!B197*'BCA Constants'!$B$9*'BCA Constants'!$B$174/1000000</f>
        <v>1814.3389940130019</v>
      </c>
      <c r="BU14" s="261">
        <f t="shared" si="4"/>
        <v>1129.8791402127456</v>
      </c>
      <c r="BV14" s="284">
        <f>(AZ14-BA14)*'BCA Constants'!$B$176*'BCA Constants'!B207*'BCA Constants'!$B$9/1000000</f>
        <v>61492.435582032071</v>
      </c>
      <c r="BW14" s="261">
        <f t="shared" si="5"/>
        <v>38294.398386565321</v>
      </c>
      <c r="BX14" s="284">
        <f>(AZ14-BA14)*'BCA Constants'!$B$178*'BCA Constants'!B217*'BCA Constants'!$B$9/1000000</f>
        <v>221455.26338598024</v>
      </c>
      <c r="BY14" s="261">
        <f t="shared" si="6"/>
        <v>180063.39480144714</v>
      </c>
      <c r="BZ14" s="284">
        <f>(BF14-BG14)*'BCA Constants'!$B$248+('Project Benefit Calculations'!BH14-'Project Benefit Calculations'!BI14)*'BCA Constants'!$B$249+('Project Benefit Calculations'!BJ14-'Project Benefit Calculations'!BK14)*'BCA Constants'!$B$250</f>
        <v>5062.7532317869582</v>
      </c>
      <c r="CA14" s="261">
        <f t="shared" si="0"/>
        <v>3152.8282683207076</v>
      </c>
      <c r="CB14" s="284">
        <f>(AZ14-BA14)*'BCA Constants'!B$30</f>
        <v>16078.86382500002</v>
      </c>
      <c r="CC14" s="261">
        <f t="shared" si="7"/>
        <v>10013.108296816252</v>
      </c>
      <c r="CD14" s="284">
        <f>(BB14-BC14)*'BCA Constants'!B$13*'CCTA Output and Adj Factors'!$F$50*'CCTA Output and Adj Factors'!$F$2</f>
        <v>1029407.6726880898</v>
      </c>
      <c r="CE14" s="261">
        <f t="shared" si="7"/>
        <v>641063.36246052559</v>
      </c>
      <c r="CF14" s="284">
        <f>(BB14-BC14)*'BCA Constants'!B$15*(1-'CCTA Output and Adj Factors'!$F$50)*'CCTA Output and Adj Factors'!$F$2</f>
        <v>97401.080798400071</v>
      </c>
      <c r="CG14" s="261">
        <f t="shared" ref="CG14" si="12">CF14/(1.07^($A14-$A$7))</f>
        <v>60656.497926483848</v>
      </c>
    </row>
    <row r="15" spans="1:85" x14ac:dyDescent="0.25">
      <c r="A15" s="204">
        <v>2028</v>
      </c>
      <c r="B15" s="205">
        <v>2</v>
      </c>
      <c r="C15" s="302">
        <v>8</v>
      </c>
      <c r="D15" s="336">
        <f>_xlfn.FORECAST.LINEAR(A15,'CCTA Output and Adj Factors'!$B$54:$D$54,'CCTA Output and Adj Factors'!$B$3:$D$3)*'CCTA Output and Adj Factors'!$F$2</f>
        <v>118522.03007518775</v>
      </c>
      <c r="E15" s="311"/>
      <c r="F15" s="258">
        <f>_xlfn.FORECAST.LINEAR(A15,'CCTA Output and Adj Factors'!$B$50:$D$50,'CCTA Output and Adj Factors'!$B$3:$D$3)*'CCTA Output and Adj Factors'!$F$2</f>
        <v>108278.27067669175</v>
      </c>
      <c r="G15" s="295">
        <f>'CCTA Output and Adj Factors'!$F$50*F15</f>
        <v>102864.35714285716</v>
      </c>
      <c r="H15" s="332">
        <f>_xlfn.FORECAST.LINEAR(A15,'CCTA Output and Adj Factors'!$B$51:$D$51,'CCTA Output and Adj Factors'!$B$3:$D$3)*'CCTA Output and Adj Factors'!$F$2</f>
        <v>4410.1879699248211</v>
      </c>
      <c r="I15" s="261"/>
      <c r="J15" s="332">
        <f>_xlfn.FORECAST.LINEAR(A15,'CCTA Output and Adj Factors'!$B$52:$D$52,'CCTA Output and Adj Factors'!$B$3:$D$3)*'CCTA Output and Adj Factors'!$F$2</f>
        <v>576.87969924811966</v>
      </c>
      <c r="K15" s="261"/>
      <c r="L15" s="332">
        <f>_xlfn.FORECAST.LINEAR(A15,'CCTA Output and Adj Factors'!$B$53:$D$53,'CCTA Output and Adj Factors'!$B$3:$D$3)*'CCTA Output and Adj Factors'!$F$2</f>
        <v>5256.6917293233046</v>
      </c>
      <c r="M15" s="295"/>
      <c r="N15" s="332">
        <f>_xlfn.FORECAST.LINEAR(A15,'CCTA Output and Adj Factors'!$B$48:$D$48,'CCTA Output and Adj Factors'!$B$3:$D$3)*'CCTA Output and Adj Factors'!$F$2</f>
        <v>30022.067669172975</v>
      </c>
      <c r="O15" s="261"/>
      <c r="P15" s="332">
        <f>_xlfn.FORECAST.LINEAR(A15,'CCTA Output and Adj Factors'!$B$44:$D$44,'CCTA Output and Adj Factors'!$B$3:$D$3)*'CCTA Output and Adj Factors'!$F$2</f>
        <v>26006.654135338289</v>
      </c>
      <c r="Q15" s="347">
        <f>P15-+(F15-G15)*'CCTA Output and Adj Factors'!$F$45</f>
        <v>23299.697368420992</v>
      </c>
      <c r="R15" s="332">
        <f>_xlfn.FORECAST.LINEAR(A15,'CCTA Output and Adj Factors'!$B$45:$D$45,'CCTA Output and Adj Factors'!$B$3:$D$3)*'CCTA Output and Adj Factors'!$F$2</f>
        <v>3853.947368421047</v>
      </c>
      <c r="S15" s="347">
        <f>R15+(F15-G15)*'CCTA Output and Adj Factors'!$F$45</f>
        <v>6560.9041353383445</v>
      </c>
      <c r="T15" s="332">
        <f>_xlfn.FORECAST.LINEAR(A15,'CCTA Output and Adj Factors'!$C$46:$D$46,'CCTA Output and Adj Factors'!$C$3:$D$3)*'CCTA Output and Adj Factors'!$F$2</f>
        <v>68.823529411764312</v>
      </c>
      <c r="U15" s="261"/>
      <c r="V15" s="382">
        <f>'CCTA Output and Adj Factors'!$B$47*'CCTA Output and Adj Factors'!$F$2</f>
        <v>90</v>
      </c>
      <c r="W15" s="206"/>
      <c r="X15" s="260">
        <f>_xlfn.FORECAST.LINEAR(A15,'CCTA Output and Adj Factors'!$B$5:$D$5,'CCTA Output and Adj Factors'!$B$3:$D$3)*'CCTA Output and Adj Factors'!$F$2</f>
        <v>88499.962406014951</v>
      </c>
      <c r="Y15" s="261"/>
      <c r="Z15" s="260">
        <f>_xlfn.FORECAST.LINEAR(A15,'CCTA Output and Adj Factors'!$B$38:$D$38,'CCTA Output and Adj Factors'!$B$3:$D$3)*'CCTA Output and Adj Factors'!$F$2</f>
        <v>82271.616541353244</v>
      </c>
      <c r="AA15" s="262"/>
      <c r="AB15" s="284">
        <f>_xlfn.FORECAST.LINEAR(A15,'CCTA Output and Adj Factors'!$B$39:$D$39,'CCTA Output and Adj Factors'!$B$3:$D$3)*'CCTA Output and Adj Factors'!$F$2</f>
        <v>556.24060150376056</v>
      </c>
      <c r="AC15" s="261"/>
      <c r="AD15" s="260">
        <f>_xlfn.FORECAST.LINEAR(A15,'CCTA Output and Adj Factors'!$B$40:$D$40,'CCTA Output and Adj Factors'!$B$3:$D$3)*'CCTA Output and Adj Factors'!$F$2</f>
        <v>505.41353383458681</v>
      </c>
      <c r="AE15" s="262">
        <f>AD15+(F15-G15)*'CCTA Output and Adj Factors'!$F$40</f>
        <v>1858.8919172932356</v>
      </c>
      <c r="AF15" s="258">
        <f>_xlfn.FORECAST.LINEAR(A15,'CCTA Output and Adj Factors'!$B$41:$D$41,'CCTA Output and Adj Factors'!$B$3:$D$3)*'CCTA Output and Adj Factors'!$F$2</f>
        <v>5166.6917293233046</v>
      </c>
      <c r="AG15" s="261">
        <f>AF15+(F15-G15)*'CCTA Output and Adj Factors'!$F$41</f>
        <v>6520.1701127819533</v>
      </c>
      <c r="AH15" s="258">
        <f>_xlfn.FORECAST.LINEAR(A15,'CCTA Output and Adj Factors'!$B$10:$D$10,'CCTA Output and Adj Factors'!$B$3:$D$3)</f>
        <v>161508.52130325837</v>
      </c>
      <c r="AI15" s="261"/>
      <c r="AJ15" s="258">
        <f>_xlfn.FORECAST.LINEAR(A15,'CCTA Output and Adj Factors'!$B$11:$D$11,'CCTA Output and Adj Factors'!$B$3:$D$3)</f>
        <v>213744.11027568905</v>
      </c>
      <c r="AK15" s="261"/>
      <c r="AL15" s="258">
        <f>_xlfn.FORECAST.LINEAR(A15,'CCTA Output and Adj Factors'!$B$12:$D$12,'CCTA Output and Adj Factors'!$B$3:$D$3)</f>
        <v>518241.72932330798</v>
      </c>
      <c r="AM15" s="261"/>
      <c r="AN15" s="258">
        <f>_xlfn.FORECAST.LINEAR(A15,'CCTA Output and Adj Factors'!$B$13:$D$13,'CCTA Output and Adj Factors'!$B$3:$D$3)</f>
        <v>1038208.6466165408</v>
      </c>
      <c r="AO15" s="261"/>
      <c r="AP15" s="258">
        <f>_xlfn.FORECAST.LINEAR(A15,'CCTA Output and Adj Factors'!$B$14:$D$14,'CCTA Output and Adj Factors'!$B$3:$D$3)</f>
        <v>653673.18295739405</v>
      </c>
      <c r="AQ15" s="261"/>
      <c r="AR15" s="258">
        <f>_xlfn.FORECAST.LINEAR(A15,'CCTA Output and Adj Factors'!$B$15:$D$15,'CCTA Output and Adj Factors'!$B$3:$D$3)</f>
        <v>270179.57393483724</v>
      </c>
      <c r="AS15" s="261"/>
      <c r="AT15" s="258">
        <f>_xlfn.FORECAST.LINEAR(A15,'CCTA Output and Adj Factors'!$B$16:$D$16,'CCTA Output and Adj Factors'!$B$3:$D$3)</f>
        <v>94442.982456140453</v>
      </c>
      <c r="AU15" s="261"/>
      <c r="AV15" s="258">
        <f>_xlfn.FORECAST.LINEAR(A15,'CCTA Output and Adj Factors'!$B$60:$D$60,'CCTA Output and Adj Factors'!$B$3:$D$3)*'CCTA Output and Adj Factors'!$F$2</f>
        <v>378111.61654135375</v>
      </c>
      <c r="AW15" s="261">
        <f>AV15*'CCTA Output and Adj Factors'!$F$60</f>
        <v>0</v>
      </c>
      <c r="AX15" s="351">
        <f>_xlfn.FORECAST.LINEAR(A15,'CCTA Output and Adj Factors'!$C$61:$D$61,'CCTA Output and Adj Factors'!$C$3:$D$3)*'CCTA Output and Adj Factors'!$F$2</f>
        <v>342151.76999999996</v>
      </c>
      <c r="AY15" s="261"/>
      <c r="AZ15" s="332">
        <f>_xlfn.FORECAST.LINEAR(A15,'CCTA Output and Adj Factors'!$C$62:$D$62,'CCTA Output and Adj Factors'!$C$3:$D$3)*'CCTA Output and Adj Factors'!$F$2</f>
        <v>720631.77</v>
      </c>
      <c r="BA15" s="262">
        <f>AZ15*'CCTA Output and Adj Factors'!$F$61</f>
        <v>684600.18149999995</v>
      </c>
      <c r="BB15" s="351">
        <v>9254117.9196249992</v>
      </c>
      <c r="BC15" s="261">
        <v>7211153.4337499989</v>
      </c>
      <c r="BD15" s="351">
        <v>329093.80937499995</v>
      </c>
      <c r="BE15" s="261">
        <v>256442.15625000003</v>
      </c>
      <c r="BF15" s="403">
        <f>(AZ15/1000000)*'BCA Constants'!$B$243</f>
        <v>0.48795994915655999</v>
      </c>
      <c r="BG15" s="404">
        <f>(BA15/1000000)*'BCA Constants'!$B$243</f>
        <v>0.46356195169873188</v>
      </c>
      <c r="BH15" s="403">
        <f>(AZ15/1000000)*'BCA Constants'!$B$244</f>
        <v>0.23392860265032001</v>
      </c>
      <c r="BI15" s="404">
        <f>(BA15/1000000)*'BCA Constants'!$B$244</f>
        <v>0.22223217251780397</v>
      </c>
      <c r="BJ15" s="422">
        <f>(AZ15/1000000)*'BCA Constants'!$B$245</f>
        <v>2.2649456531100001E-3</v>
      </c>
      <c r="BK15" s="416">
        <f>(BA15/1000000)*'BCA Constants'!$B$245</f>
        <v>2.1516983704544996E-3</v>
      </c>
      <c r="BL15" s="399">
        <f>(S15-R15)*'BCA Constants'!$B$81*'BCA Constants'!$B$9</f>
        <v>70380.875939849735</v>
      </c>
      <c r="BM15" s="261">
        <f t="shared" si="10"/>
        <v>40962.310584254999</v>
      </c>
      <c r="BN15" s="284">
        <f>(AG15-AF15)*'BCA Constants'!$B$43*'BCA Constants'!$B$9</f>
        <v>2491483.0082706804</v>
      </c>
      <c r="BO15" s="261">
        <f t="shared" si="1"/>
        <v>1450065.7946826271</v>
      </c>
      <c r="BP15" s="284">
        <f>(AE15-AD15)*'BCA Constants'!$B$44*'BCA Constants'!$B$9</f>
        <v>2220516.635902259</v>
      </c>
      <c r="BQ15" s="261">
        <f t="shared" si="2"/>
        <v>1292360.8989332453</v>
      </c>
      <c r="BR15" s="284">
        <f>(((AZ15-BA15)*'BCA Constants'!$B$172)/1000000)*'BCA Constants'!B188*'BCA Constants'!$B$9</f>
        <v>15811.669918278032</v>
      </c>
      <c r="BS15" s="261">
        <f t="shared" si="3"/>
        <v>9202.5358508149511</v>
      </c>
      <c r="BT15" s="284">
        <f>(AZ15-BA15)*'BCA Constants'!B198*'BCA Constants'!$B$9*'BCA Constants'!$B$174/1000000</f>
        <v>1861.0891965666035</v>
      </c>
      <c r="BU15" s="261">
        <f t="shared" si="4"/>
        <v>1083.1708568093957</v>
      </c>
      <c r="BV15" s="284">
        <f>(AZ15-BA15)*'BCA Constants'!$B$176*'BCA Constants'!B208*'BCA Constants'!$B$9/1000000</f>
        <v>62999.358849648124</v>
      </c>
      <c r="BW15" s="261">
        <f t="shared" si="5"/>
        <v>36666.200432255238</v>
      </c>
      <c r="BX15" s="284">
        <f>(AZ15-BA15)*'BCA Constants'!$B$178*'BCA Constants'!B218*'BCA Constants'!$B$9/1000000</f>
        <v>231020.13282660046</v>
      </c>
      <c r="BY15" s="261">
        <f t="shared" si="6"/>
        <v>182369.4261657504</v>
      </c>
      <c r="BZ15" s="284">
        <f>(BF15-BG15)*'BCA Constants'!$B$248+('Project Benefit Calculations'!BH15-'Project Benefit Calculations'!BI15)*'BCA Constants'!$B$249+('Project Benefit Calculations'!BJ15-'Project Benefit Calculations'!BK15)*'BCA Constants'!$B$250</f>
        <v>5105.3712127670833</v>
      </c>
      <c r="CA15" s="261">
        <f t="shared" si="0"/>
        <v>2971.3725280146946</v>
      </c>
      <c r="CB15" s="284">
        <f>(AZ15-BA15)*'BCA Constants'!B$30</f>
        <v>16214.214825000032</v>
      </c>
      <c r="CC15" s="261">
        <f t="shared" si="7"/>
        <v>9436.8206515234397</v>
      </c>
      <c r="CD15" s="284">
        <f>(BB15-BC15)*'BCA Constants'!B$13*'CCTA Output and Adj Factors'!$F$50*'CCTA Output and Adj Factors'!$F$2</f>
        <v>1036395.8836843877</v>
      </c>
      <c r="CE15" s="261">
        <f t="shared" si="7"/>
        <v>603191.84023804218</v>
      </c>
      <c r="CF15" s="284">
        <f>(BB15-BC15)*'BCA Constants'!B$15*(1-'CCTA Output and Adj Factors'!$F$50)*'CCTA Output and Adj Factors'!$F$2</f>
        <v>98062.295322000093</v>
      </c>
      <c r="CG15" s="261">
        <f t="shared" ref="CG15" si="13">CF15/(1.07^($A15-$A$7))</f>
        <v>57073.148691949631</v>
      </c>
    </row>
    <row r="16" spans="1:85" x14ac:dyDescent="0.25">
      <c r="A16" s="199">
        <v>2029</v>
      </c>
      <c r="B16" s="200">
        <v>3</v>
      </c>
      <c r="C16" s="301">
        <v>9</v>
      </c>
      <c r="D16" s="336">
        <f>_xlfn.FORECAST.LINEAR(A16,'CCTA Output and Adj Factors'!$B$54:$D$54,'CCTA Output and Adj Factors'!$B$3:$D$3)*'CCTA Output and Adj Factors'!$F$2</f>
        <v>119544.06015037559</v>
      </c>
      <c r="E16" s="310"/>
      <c r="F16" s="258">
        <f>_xlfn.FORECAST.LINEAR(A16,'CCTA Output and Adj Factors'!$B$50:$D$50,'CCTA Output and Adj Factors'!$B$3:$D$3)*'CCTA Output and Adj Factors'!$F$2</f>
        <v>109196.54135338358</v>
      </c>
      <c r="G16" s="295">
        <f>'CCTA Output and Adj Factors'!$F$50*F16</f>
        <v>103736.71428571439</v>
      </c>
      <c r="H16" s="332">
        <f>_xlfn.FORECAST.LINEAR(A16,'CCTA Output and Adj Factors'!$B$51:$D$51,'CCTA Output and Adj Factors'!$B$3:$D$3)*'CCTA Output and Adj Factors'!$F$2</f>
        <v>4460.3759398496386</v>
      </c>
      <c r="I16" s="261"/>
      <c r="J16" s="332">
        <f>_xlfn.FORECAST.LINEAR(A16,'CCTA Output and Adj Factors'!$B$52:$D$52,'CCTA Output and Adj Factors'!$B$3:$D$3)*'CCTA Output and Adj Factors'!$F$2</f>
        <v>583.75939849624115</v>
      </c>
      <c r="K16" s="261"/>
      <c r="L16" s="332">
        <f>_xlfn.FORECAST.LINEAR(A16,'CCTA Output and Adj Factors'!$B$53:$D$53,'CCTA Output and Adj Factors'!$B$3:$D$3)*'CCTA Output and Adj Factors'!$F$2</f>
        <v>5303.3834586466146</v>
      </c>
      <c r="M16" s="295"/>
      <c r="N16" s="332">
        <f>_xlfn.FORECAST.LINEAR(A16,'CCTA Output and Adj Factors'!$B$48:$D$48,'CCTA Output and Adj Factors'!$B$3:$D$3)*'CCTA Output and Adj Factors'!$F$2</f>
        <v>30214.135338345932</v>
      </c>
      <c r="O16" s="259"/>
      <c r="P16" s="332">
        <f>_xlfn.FORECAST.LINEAR(A16,'CCTA Output and Adj Factors'!$B$44:$D$44,'CCTA Output and Adj Factors'!$B$3:$D$3)*'CCTA Output and Adj Factors'!$F$2</f>
        <v>26163.308270676658</v>
      </c>
      <c r="Q16" s="347">
        <f>P16-+(F16-G16)*'CCTA Output and Adj Factors'!$F$45</f>
        <v>23433.394736842063</v>
      </c>
      <c r="R16" s="332">
        <f>_xlfn.FORECAST.LINEAR(A16,'CCTA Output and Adj Factors'!$B$45:$D$45,'CCTA Output and Adj Factors'!$B$3:$D$3)*'CCTA Output and Adj Factors'!$F$2</f>
        <v>3887.8947368421032</v>
      </c>
      <c r="S16" s="347">
        <f>R16+(F16-G16)*'CCTA Output and Adj Factors'!$F$45</f>
        <v>6617.8082706766982</v>
      </c>
      <c r="T16" s="332">
        <f>_xlfn.FORECAST.LINEAR(A16,'CCTA Output and Adj Factors'!$C$46:$D$46,'CCTA Output and Adj Factors'!$C$3:$D$3)*'CCTA Output and Adj Factors'!$F$2</f>
        <v>70.588235294117624</v>
      </c>
      <c r="U16" s="259"/>
      <c r="V16" s="382">
        <f>'CCTA Output and Adj Factors'!$B$47*'CCTA Output and Adj Factors'!$F$2</f>
        <v>90</v>
      </c>
      <c r="W16" s="201"/>
      <c r="X16" s="260">
        <f>_xlfn.FORECAST.LINEAR(A16,'CCTA Output and Adj Factors'!$B$5:$D$5,'CCTA Output and Adj Factors'!$B$3:$D$3)*'CCTA Output and Adj Factors'!$F$2</f>
        <v>89329.924812030047</v>
      </c>
      <c r="Y16" s="259"/>
      <c r="Z16" s="260">
        <f>_xlfn.FORECAST.LINEAR(A16,'CCTA Output and Adj Factors'!$B$38:$D$38,'CCTA Output and Adj Factors'!$B$3:$D$3)*'CCTA Output and Adj Factors'!$F$2</f>
        <v>83033.233082706705</v>
      </c>
      <c r="AA16" s="262"/>
      <c r="AB16" s="284">
        <f>_xlfn.FORECAST.LINEAR(A16,'CCTA Output and Adj Factors'!$B$39:$D$39,'CCTA Output and Adj Factors'!$B$3:$D$3)*'CCTA Output and Adj Factors'!$F$2</f>
        <v>572.48120300752112</v>
      </c>
      <c r="AC16" s="261"/>
      <c r="AD16" s="260">
        <f>_xlfn.FORECAST.LINEAR(A16,'CCTA Output and Adj Factors'!$B$40:$D$40,'CCTA Output and Adj Factors'!$B$3:$D$3)*'CCTA Output and Adj Factors'!$F$2</f>
        <v>510.82706766917312</v>
      </c>
      <c r="AE16" s="262">
        <f>AD16+(F16-G16)*'CCTA Output and Adj Factors'!$F$40</f>
        <v>1875.7838345864707</v>
      </c>
      <c r="AF16" s="258">
        <f>_xlfn.FORECAST.LINEAR(A16,'CCTA Output and Adj Factors'!$B$41:$D$41,'CCTA Output and Adj Factors'!$B$3:$D$3)*'CCTA Output and Adj Factors'!$F$2</f>
        <v>5213.3834586466146</v>
      </c>
      <c r="AG16" s="261">
        <f>AF16+(F16-G16)*'CCTA Output and Adj Factors'!$F$41</f>
        <v>6578.3402255639121</v>
      </c>
      <c r="AH16" s="258">
        <f>_xlfn.FORECAST.LINEAR(A16,'CCTA Output and Adj Factors'!$B$10:$D$10,'CCTA Output and Adj Factors'!$B$3:$D$3)</f>
        <v>162783.70927318325</v>
      </c>
      <c r="AI16" s="259"/>
      <c r="AJ16" s="258">
        <f>_xlfn.FORECAST.LINEAR(A16,'CCTA Output and Adj Factors'!$B$11:$D$11,'CCTA Output and Adj Factors'!$B$3:$D$3)</f>
        <v>215421.55388471158</v>
      </c>
      <c r="AK16" s="259"/>
      <c r="AL16" s="258">
        <f>_xlfn.FORECAST.LINEAR(A16,'CCTA Output and Adj Factors'!$B$12:$D$12,'CCTA Output and Adj Factors'!$B$3:$D$3)</f>
        <v>521983.45864661597</v>
      </c>
      <c r="AM16" s="259"/>
      <c r="AN16" s="258">
        <f>_xlfn.FORECAST.LINEAR(A16,'CCTA Output and Adj Factors'!$B$13:$D$13,'CCTA Output and Adj Factors'!$B$3:$D$3)</f>
        <v>1047917.2932330817</v>
      </c>
      <c r="AO16" s="259"/>
      <c r="AP16" s="258">
        <f>_xlfn.FORECAST.LINEAR(A16,'CCTA Output and Adj Factors'!$B$14:$D$14,'CCTA Output and Adj Factors'!$B$3:$D$3)</f>
        <v>661213.03258145414</v>
      </c>
      <c r="AQ16" s="259"/>
      <c r="AR16" s="258">
        <f>_xlfn.FORECAST.LINEAR(A16,'CCTA Output and Adj Factors'!$B$15:$D$15,'CCTA Output and Adj Factors'!$B$3:$D$3)</f>
        <v>272825.81453634053</v>
      </c>
      <c r="AS16" s="259"/>
      <c r="AT16" s="258">
        <f>_xlfn.FORECAST.LINEAR(A16,'CCTA Output and Adj Factors'!$B$16:$D$16,'CCTA Output and Adj Factors'!$B$3:$D$3)</f>
        <v>95519.298245614162</v>
      </c>
      <c r="AU16" s="259"/>
      <c r="AV16" s="258">
        <f>_xlfn.FORECAST.LINEAR(A16,'CCTA Output and Adj Factors'!$B$60:$D$60,'CCTA Output and Adj Factors'!$B$3:$D$3)*'CCTA Output and Adj Factors'!$F$2</f>
        <v>381633.23308270721</v>
      </c>
      <c r="AW16" s="261">
        <f>AV16*'CCTA Output and Adj Factors'!$F$60</f>
        <v>0</v>
      </c>
      <c r="AX16" s="351">
        <f>_xlfn.FORECAST.LINEAR(A16,'CCTA Output and Adj Factors'!$C$61:$D$61,'CCTA Output and Adj Factors'!$C$3:$D$3)*'CCTA Output and Adj Factors'!$F$2</f>
        <v>344687.37</v>
      </c>
      <c r="AY16" s="261"/>
      <c r="AZ16" s="332">
        <f>_xlfn.FORECAST.LINEAR(A16,'CCTA Output and Adj Factors'!$C$62:$D$62,'CCTA Output and Adj Factors'!$C$3:$D$3)*'CCTA Output and Adj Factors'!$F$2</f>
        <v>726647.37</v>
      </c>
      <c r="BA16" s="262">
        <f>AZ16*'CCTA Output and Adj Factors'!$F$61</f>
        <v>690315.00150000001</v>
      </c>
      <c r="BB16" s="351">
        <v>9596932.6885499973</v>
      </c>
      <c r="BC16" s="261">
        <v>7540192.9001000002</v>
      </c>
      <c r="BD16" s="351">
        <v>341284.94624999998</v>
      </c>
      <c r="BE16" s="261">
        <v>268143.4175000001</v>
      </c>
      <c r="BF16" s="403">
        <f>(AZ16/1000000)*'BCA Constants'!$B$243</f>
        <v>0.49203328035335997</v>
      </c>
      <c r="BG16" s="404">
        <f>(BA16/1000000)*'BCA Constants'!$B$243</f>
        <v>0.46743161633569197</v>
      </c>
      <c r="BH16" s="403">
        <f>(AZ16/1000000)*'BCA Constants'!$B$244</f>
        <v>0.23588136265992002</v>
      </c>
      <c r="BI16" s="404">
        <f>(BA16/1000000)*'BCA Constants'!$B$244</f>
        <v>0.22408729452692402</v>
      </c>
      <c r="BJ16" s="422">
        <f>(AZ16/1000000)*'BCA Constants'!$B$245</f>
        <v>2.2838526839100001E-3</v>
      </c>
      <c r="BK16" s="416">
        <f>(BA16/1000000)*'BCA Constants'!$B$245</f>
        <v>2.1696600497145002E-3</v>
      </c>
      <c r="BL16" s="399">
        <f>(S16-R16)*'BCA Constants'!$B$81*'BCA Constants'!$B$9</f>
        <v>70977.75187969947</v>
      </c>
      <c r="BM16" s="261">
        <f t="shared" si="10"/>
        <v>38607.194220133977</v>
      </c>
      <c r="BN16" s="284">
        <f>(AG16-AF16)*'BCA Constants'!$B$43*'BCA Constants'!$B$9</f>
        <v>2512612.4165413612</v>
      </c>
      <c r="BO16" s="261">
        <f t="shared" si="1"/>
        <v>1366694.675392743</v>
      </c>
      <c r="BP16" s="284">
        <f>(AE16-AD16)*'BCA Constants'!$B$44*'BCA Constants'!$B$9</f>
        <v>2239348.0718045183</v>
      </c>
      <c r="BQ16" s="261">
        <f t="shared" si="2"/>
        <v>1218056.977645227</v>
      </c>
      <c r="BR16" s="284">
        <f>(((AZ16-BA16)*'BCA Constants'!$B$172)/1000000)*'BCA Constants'!B189*'BCA Constants'!$B$9</f>
        <v>16218.551304188994</v>
      </c>
      <c r="BS16" s="261">
        <f t="shared" si="3"/>
        <v>8821.8173101805332</v>
      </c>
      <c r="BT16" s="284">
        <f>(AZ16-BA16)*'BCA Constants'!B199*'BCA Constants'!$B$9*'BCA Constants'!$B$174/1000000</f>
        <v>1912.3324165763988</v>
      </c>
      <c r="BU16" s="261">
        <f t="shared" si="4"/>
        <v>1040.1821284133887</v>
      </c>
      <c r="BV16" s="284">
        <f>(AZ16-BA16)*'BCA Constants'!$B$176*'BCA Constants'!B209*'BCA Constants'!$B$9/1000000</f>
        <v>64537.91281391996</v>
      </c>
      <c r="BW16" s="261">
        <f t="shared" si="5"/>
        <v>35104.348455444924</v>
      </c>
      <c r="BX16" s="284">
        <f>(AZ16-BA16)*'BCA Constants'!$B$178*'BCA Constants'!B219*'BCA Constants'!$B$9/1000000</f>
        <v>236831.0907725099</v>
      </c>
      <c r="BY16" s="261">
        <f t="shared" si="6"/>
        <v>181511.31070724395</v>
      </c>
      <c r="BZ16" s="284">
        <f>(BF16-BG16)*'BCA Constants'!$B$248+('Project Benefit Calculations'!BH16-'Project Benefit Calculations'!BI16)*'BCA Constants'!$B$249+('Project Benefit Calculations'!BJ16-'Project Benefit Calculations'!BK16)*'BCA Constants'!$B$250</f>
        <v>5147.9891937471702</v>
      </c>
      <c r="CA16" s="261">
        <f t="shared" si="0"/>
        <v>2800.1650289376489</v>
      </c>
      <c r="CB16" s="284">
        <f>(AZ16-BA16)*'BCA Constants'!B$30</f>
        <v>16349.565824999992</v>
      </c>
      <c r="CC16" s="261">
        <f t="shared" si="7"/>
        <v>8893.0805288181291</v>
      </c>
      <c r="CD16" s="284">
        <f>(BB16-BC16)*'BCA Constants'!B$13*'CCTA Output and Adj Factors'!$F$50*'CCTA Output and Adj Factors'!$F$2</f>
        <v>1043384.0946806835</v>
      </c>
      <c r="CE16" s="261">
        <f t="shared" si="7"/>
        <v>567531.81557243713</v>
      </c>
      <c r="CF16" s="284">
        <f>(BB16-BC16)*'BCA Constants'!B$15*(1-'CCTA Output and Adj Factors'!$F$50)*'CCTA Output and Adj Factors'!$F$2</f>
        <v>98723.50984559994</v>
      </c>
      <c r="CG16" s="261">
        <f t="shared" ref="CG16" si="14">CF16/(1.07^($A16-$A$7))</f>
        <v>53699.048191360162</v>
      </c>
    </row>
    <row r="17" spans="1:85" x14ac:dyDescent="0.25">
      <c r="A17" s="204">
        <v>2030</v>
      </c>
      <c r="B17" s="200">
        <v>4</v>
      </c>
      <c r="C17" s="301">
        <v>10</v>
      </c>
      <c r="D17" s="336">
        <f>_xlfn.FORECAST.LINEAR(A17,'CCTA Output and Adj Factors'!$B$54:$D$54,'CCTA Output and Adj Factors'!$B$3:$D$3)*'CCTA Output and Adj Factors'!$F$2</f>
        <v>120566.09022556341</v>
      </c>
      <c r="E17" s="310"/>
      <c r="F17" s="258">
        <f>_xlfn.FORECAST.LINEAR(A17,'CCTA Output and Adj Factors'!$B$50:$D$50,'CCTA Output and Adj Factors'!$B$3:$D$3)*'CCTA Output and Adj Factors'!$F$2</f>
        <v>110114.81203007519</v>
      </c>
      <c r="G17" s="295">
        <f>'CCTA Output and Adj Factors'!$F$50*F17</f>
        <v>104609.07142857142</v>
      </c>
      <c r="H17" s="332">
        <f>_xlfn.FORECAST.LINEAR(A17,'CCTA Output and Adj Factors'!$B$51:$D$51,'CCTA Output and Adj Factors'!$B$3:$D$3)*'CCTA Output and Adj Factors'!$F$2</f>
        <v>4510.5639097744415</v>
      </c>
      <c r="I17" s="261"/>
      <c r="J17" s="332">
        <f>_xlfn.FORECAST.LINEAR(A17,'CCTA Output and Adj Factors'!$B$52:$D$52,'CCTA Output and Adj Factors'!$B$3:$D$3)*'CCTA Output and Adj Factors'!$F$2</f>
        <v>590.63909774436092</v>
      </c>
      <c r="K17" s="261"/>
      <c r="L17" s="332">
        <f>_xlfn.FORECAST.LINEAR(A17,'CCTA Output and Adj Factors'!$B$53:$D$53,'CCTA Output and Adj Factors'!$B$3:$D$3)*'CCTA Output and Adj Factors'!$F$2</f>
        <v>5350.0751879699246</v>
      </c>
      <c r="M17" s="295"/>
      <c r="N17" s="332">
        <f>_xlfn.FORECAST.LINEAR(A17,'CCTA Output and Adj Factors'!$B$48:$D$48,'CCTA Output and Adj Factors'!$B$3:$D$3)*'CCTA Output and Adj Factors'!$F$2</f>
        <v>30406.203007518834</v>
      </c>
      <c r="O17" s="259"/>
      <c r="P17" s="332">
        <f>_xlfn.FORECAST.LINEAR(A17,'CCTA Output and Adj Factors'!$B$44:$D$44,'CCTA Output and Adj Factors'!$B$3:$D$3)*'CCTA Output and Adj Factors'!$F$2</f>
        <v>26319.962406014965</v>
      </c>
      <c r="Q17" s="347">
        <f>P17-+(F17-G17)*'CCTA Output and Adj Factors'!$F$45</f>
        <v>23567.09210526308</v>
      </c>
      <c r="R17" s="332">
        <f>_xlfn.FORECAST.LINEAR(A17,'CCTA Output and Adj Factors'!$B$45:$D$45,'CCTA Output and Adj Factors'!$B$3:$D$3)*'CCTA Output and Adj Factors'!$F$2</f>
        <v>3921.8421052631593</v>
      </c>
      <c r="S17" s="347">
        <f>R17+(F17-G17)*'CCTA Output and Adj Factors'!$F$45</f>
        <v>6674.7124060150445</v>
      </c>
      <c r="T17" s="332">
        <f>_xlfn.FORECAST.LINEAR(A17,'CCTA Output and Adj Factors'!$C$46:$D$46,'CCTA Output and Adj Factors'!$C$3:$D$3)*'CCTA Output and Adj Factors'!$F$2</f>
        <v>72.35294117647048</v>
      </c>
      <c r="U17" s="259"/>
      <c r="V17" s="382">
        <f>'CCTA Output and Adj Factors'!$B$47*'CCTA Output and Adj Factors'!$F$2</f>
        <v>90</v>
      </c>
      <c r="W17" s="201"/>
      <c r="X17" s="260">
        <f>_xlfn.FORECAST.LINEAR(A17,'CCTA Output and Adj Factors'!$B$5:$D$5,'CCTA Output and Adj Factors'!$B$3:$D$3)*'CCTA Output and Adj Factors'!$F$2</f>
        <v>90159.887218045144</v>
      </c>
      <c r="Y17" s="259"/>
      <c r="Z17" s="260">
        <f>_xlfn.FORECAST.LINEAR(A17,'CCTA Output and Adj Factors'!$B$38:$D$38,'CCTA Output and Adj Factors'!$B$3:$D$3)*'CCTA Output and Adj Factors'!$F$2</f>
        <v>83794.849624059949</v>
      </c>
      <c r="AA17" s="262"/>
      <c r="AB17" s="284">
        <f>_xlfn.FORECAST.LINEAR(A17,'CCTA Output and Adj Factors'!$B$39:$D$39,'CCTA Output and Adj Factors'!$B$3:$D$3)*'CCTA Output and Adj Factors'!$F$2</f>
        <v>588.72180451128168</v>
      </c>
      <c r="AC17" s="261"/>
      <c r="AD17" s="260">
        <f>_xlfn.FORECAST.LINEAR(A17,'CCTA Output and Adj Factors'!$B$40:$D$40,'CCTA Output and Adj Factors'!$B$3:$D$3)*'CCTA Output and Adj Factors'!$F$2</f>
        <v>516.24060150375942</v>
      </c>
      <c r="AE17" s="262">
        <f>AD17+(F17-G17)*'CCTA Output and Adj Factors'!$F$40</f>
        <v>1892.6757518797021</v>
      </c>
      <c r="AF17" s="258">
        <f>_xlfn.FORECAST.LINEAR(A17,'CCTA Output and Adj Factors'!$B$41:$D$41,'CCTA Output and Adj Factors'!$B$3:$D$3)*'CCTA Output and Adj Factors'!$F$2</f>
        <v>5260.0751879699246</v>
      </c>
      <c r="AG17" s="261">
        <f>AF17+(F17-G17)*'CCTA Output and Adj Factors'!$F$41</f>
        <v>6636.5103383458672</v>
      </c>
      <c r="AH17" s="258">
        <f>_xlfn.FORECAST.LINEAR(A17,'CCTA Output and Adj Factors'!$B$10:$D$10,'CCTA Output and Adj Factors'!$B$3:$D$3)</f>
        <v>164058.89724310813</v>
      </c>
      <c r="AI17" s="259"/>
      <c r="AJ17" s="258">
        <f>_xlfn.FORECAST.LINEAR(A17,'CCTA Output and Adj Factors'!$B$11:$D$11,'CCTA Output and Adj Factors'!$B$3:$D$3)</f>
        <v>217098.99749373412</v>
      </c>
      <c r="AK17" s="259"/>
      <c r="AL17" s="258">
        <f>_xlfn.FORECAST.LINEAR(A17,'CCTA Output and Adj Factors'!$B$12:$D$12,'CCTA Output and Adj Factors'!$B$3:$D$3)</f>
        <v>525725.18796992395</v>
      </c>
      <c r="AM17" s="259"/>
      <c r="AN17" s="258">
        <f>_xlfn.FORECAST.LINEAR(A17,'CCTA Output and Adj Factors'!$B$13:$D$13,'CCTA Output and Adj Factors'!$B$3:$D$3)</f>
        <v>1057625.9398496263</v>
      </c>
      <c r="AO17" s="259"/>
      <c r="AP17" s="258">
        <f>_xlfn.FORECAST.LINEAR(A17,'CCTA Output and Adj Factors'!$B$14:$D$14,'CCTA Output and Adj Factors'!$B$3:$D$3)</f>
        <v>668752.88220551424</v>
      </c>
      <c r="AQ17" s="259"/>
      <c r="AR17" s="258">
        <f>_xlfn.FORECAST.LINEAR(A17,'CCTA Output and Adj Factors'!$B$15:$D$15,'CCTA Output and Adj Factors'!$B$3:$D$3)</f>
        <v>275472.05513784476</v>
      </c>
      <c r="AS17" s="259"/>
      <c r="AT17" s="258">
        <f>_xlfn.FORECAST.LINEAR(A17,'CCTA Output and Adj Factors'!$B$16:$D$16,'CCTA Output and Adj Factors'!$B$3:$D$3)</f>
        <v>96595.61403508787</v>
      </c>
      <c r="AU17" s="259"/>
      <c r="AV17" s="258">
        <f>_xlfn.FORECAST.LINEAR(A17,'CCTA Output and Adj Factors'!$B$60:$D$60,'CCTA Output and Adj Factors'!$B$3:$D$3)*'CCTA Output and Adj Factors'!$F$2</f>
        <v>385154.84962406068</v>
      </c>
      <c r="AW17" s="261">
        <f>AV17*'CCTA Output and Adj Factors'!$F$60</f>
        <v>0</v>
      </c>
      <c r="AX17" s="351">
        <f>_xlfn.FORECAST.LINEAR(A17,'CCTA Output and Adj Factors'!$C$61:$D$61,'CCTA Output and Adj Factors'!$C$3:$D$3)*'CCTA Output and Adj Factors'!$F$2</f>
        <v>347222.97</v>
      </c>
      <c r="AY17" s="261"/>
      <c r="AZ17" s="332">
        <f>_xlfn.FORECAST.LINEAR(A17,'CCTA Output and Adj Factors'!$C$62:$D$62,'CCTA Output and Adj Factors'!$C$3:$D$3)*'CCTA Output and Adj Factors'!$F$2</f>
        <v>732662.97</v>
      </c>
      <c r="BA17" s="262">
        <f>AZ17*'CCTA Output and Adj Factors'!$F$61</f>
        <v>696029.82149999996</v>
      </c>
      <c r="BB17" s="351">
        <v>9939747.457475001</v>
      </c>
      <c r="BC17" s="261">
        <v>7869232.3664499987</v>
      </c>
      <c r="BD17" s="351">
        <v>353476.08312500006</v>
      </c>
      <c r="BE17" s="261">
        <v>279844.67874999996</v>
      </c>
      <c r="BF17" s="403">
        <f>(AZ17/1000000)*'BCA Constants'!$B$243</f>
        <v>0.49610661155016</v>
      </c>
      <c r="BG17" s="404">
        <f>(BA17/1000000)*'BCA Constants'!$B$243</f>
        <v>0.47130128097265189</v>
      </c>
      <c r="BH17" s="403">
        <f>(AZ17/1000000)*'BCA Constants'!$B$244</f>
        <v>0.23783412266952003</v>
      </c>
      <c r="BI17" s="404">
        <f>(BA17/1000000)*'BCA Constants'!$B$244</f>
        <v>0.22594241653604399</v>
      </c>
      <c r="BJ17" s="422">
        <f>(AZ17/1000000)*'BCA Constants'!$B$245</f>
        <v>2.3027597147100001E-3</v>
      </c>
      <c r="BK17" s="416">
        <f>(BA17/1000000)*'BCA Constants'!$B$245</f>
        <v>2.1876217289744995E-3</v>
      </c>
      <c r="BL17" s="399">
        <f>(S17-R17)*'BCA Constants'!$B$81*'BCA Constants'!$B$9</f>
        <v>71574.627819549016</v>
      </c>
      <c r="BM17" s="261">
        <f t="shared" si="10"/>
        <v>36384.911386873624</v>
      </c>
      <c r="BN17" s="284">
        <f>(AG17-AF17)*'BCA Constants'!$B$43*'BCA Constants'!$B$9</f>
        <v>2533741.8248120351</v>
      </c>
      <c r="BO17" s="261">
        <f t="shared" si="1"/>
        <v>1288025.8630953261</v>
      </c>
      <c r="BP17" s="284">
        <f>(AE17-AD17)*'BCA Constants'!$B$44*'BCA Constants'!$B$9</f>
        <v>2258179.5077067711</v>
      </c>
      <c r="BQ17" s="261">
        <f t="shared" si="2"/>
        <v>1147943.9542558626</v>
      </c>
      <c r="BR17" s="284">
        <f>(((AZ17-BA17)*'BCA Constants'!$B$172)/1000000)*'BCA Constants'!B190*'BCA Constants'!$B$9</f>
        <v>16722.372893577005</v>
      </c>
      <c r="BS17" s="261">
        <f t="shared" si="3"/>
        <v>8500.8064232626639</v>
      </c>
      <c r="BT17" s="284">
        <f>(AZ17-BA17)*'BCA Constants'!B200*'BCA Constants'!$B$9*'BCA Constants'!$B$174/1000000</f>
        <v>1964.1668497542007</v>
      </c>
      <c r="BU17" s="261">
        <f t="shared" si="4"/>
        <v>998.48282770702656</v>
      </c>
      <c r="BV17" s="284">
        <f>(AZ17-BA17)*'BCA Constants'!$B$176*'BCA Constants'!B210*'BCA Constants'!$B$9/1000000</f>
        <v>66108.472848288031</v>
      </c>
      <c r="BW17" s="261">
        <f t="shared" si="5"/>
        <v>33606.19537653443</v>
      </c>
      <c r="BX17" s="284">
        <f>(AZ17-BA17)*'BCA Constants'!$B$178*'BCA Constants'!B220*'BCA Constants'!$B$9/1000000</f>
        <v>242706.33142002008</v>
      </c>
      <c r="BY17" s="261">
        <f t="shared" si="6"/>
        <v>180596.30431654479</v>
      </c>
      <c r="BZ17" s="284">
        <f>(BF17-BG17)*'BCA Constants'!$B$248+('Project Benefit Calculations'!BH17-'Project Benefit Calculations'!BI17)*'BCA Constants'!$B$249+('Project Benefit Calculations'!BJ17-'Project Benefit Calculations'!BK17)*'BCA Constants'!$B$250</f>
        <v>5190.6071747273018</v>
      </c>
      <c r="CA17" s="261">
        <f t="shared" si="0"/>
        <v>2638.6414830220115</v>
      </c>
      <c r="CB17" s="284">
        <f>(AZ17-BA17)*'BCA Constants'!B$30</f>
        <v>16484.916825000004</v>
      </c>
      <c r="CC17" s="261">
        <f t="shared" si="7"/>
        <v>8380.0957988884511</v>
      </c>
      <c r="CD17" s="284">
        <f>(BB17-BC17)*'BCA Constants'!B$13*'CCTA Output and Adj Factors'!$F$50*'CCTA Output and Adj Factors'!$F$2</f>
        <v>1050372.3056769837</v>
      </c>
      <c r="CE17" s="261">
        <f t="shared" si="7"/>
        <v>533956.01806880604</v>
      </c>
      <c r="CF17" s="284">
        <f>(BB17-BC17)*'BCA Constants'!B$15*(1-'CCTA Output and Adj Factors'!$F$50)*'CCTA Output and Adj Factors'!$F$2</f>
        <v>99384.724369200194</v>
      </c>
      <c r="CG17" s="261">
        <f t="shared" ref="CG17" si="15">CF17/(1.07^($A17-$A$7))</f>
        <v>50522.154282086958</v>
      </c>
    </row>
    <row r="18" spans="1:85" x14ac:dyDescent="0.25">
      <c r="A18" s="199">
        <v>2031</v>
      </c>
      <c r="B18" s="200">
        <v>5</v>
      </c>
      <c r="C18" s="301">
        <v>11</v>
      </c>
      <c r="D18" s="336">
        <f>_xlfn.FORECAST.LINEAR(A18,'CCTA Output and Adj Factors'!$B$54:$D$54,'CCTA Output and Adj Factors'!$B$3:$D$3)*'CCTA Output and Adj Factors'!$F$2</f>
        <v>121588.1203007517</v>
      </c>
      <c r="E18" s="310"/>
      <c r="F18" s="258">
        <f>_xlfn.FORECAST.LINEAR(A18,'CCTA Output and Adj Factors'!$B$50:$D$50,'CCTA Output and Adj Factors'!$B$3:$D$3)*'CCTA Output and Adj Factors'!$F$2</f>
        <v>111033.08270676702</v>
      </c>
      <c r="G18" s="295">
        <f>'CCTA Output and Adj Factors'!$F$50*F18</f>
        <v>105481.42857142867</v>
      </c>
      <c r="H18" s="332">
        <f>_xlfn.FORECAST.LINEAR(A18,'CCTA Output and Adj Factors'!$B$51:$D$51,'CCTA Output and Adj Factors'!$B$3:$D$3)*'CCTA Output and Adj Factors'!$F$2</f>
        <v>4560.7518796992581</v>
      </c>
      <c r="I18" s="261"/>
      <c r="J18" s="332">
        <f>_xlfn.FORECAST.LINEAR(A18,'CCTA Output and Adj Factors'!$B$52:$D$52,'CCTA Output and Adj Factors'!$B$3:$D$3)*'CCTA Output and Adj Factors'!$F$2</f>
        <v>597.51879699248059</v>
      </c>
      <c r="K18" s="261"/>
      <c r="L18" s="332">
        <f>_xlfn.FORECAST.LINEAR(A18,'CCTA Output and Adj Factors'!$B$53:$D$53,'CCTA Output and Adj Factors'!$B$3:$D$3)*'CCTA Output and Adj Factors'!$F$2</f>
        <v>5396.7669172932347</v>
      </c>
      <c r="M18" s="295"/>
      <c r="N18" s="332">
        <f>_xlfn.FORECAST.LINEAR(A18,'CCTA Output and Adj Factors'!$B$48:$D$48,'CCTA Output and Adj Factors'!$B$3:$D$3)*'CCTA Output and Adj Factors'!$F$2</f>
        <v>30598.270676691791</v>
      </c>
      <c r="O18" s="259"/>
      <c r="P18" s="332">
        <f>_xlfn.FORECAST.LINEAR(A18,'CCTA Output and Adj Factors'!$B$44:$D$44,'CCTA Output and Adj Factors'!$B$3:$D$3)*'CCTA Output and Adj Factors'!$F$2</f>
        <v>26476.616541353334</v>
      </c>
      <c r="Q18" s="347">
        <f>P18-+(F18-G18)*'CCTA Output and Adj Factors'!$F$45</f>
        <v>23700.789473684159</v>
      </c>
      <c r="R18" s="332">
        <f>_xlfn.FORECAST.LINEAR(A18,'CCTA Output and Adj Factors'!$B$45:$D$45,'CCTA Output and Adj Factors'!$B$3:$D$3)*'CCTA Output and Adj Factors'!$F$2</f>
        <v>3955.7894736842018</v>
      </c>
      <c r="S18" s="347">
        <f>R18+(F18-G18)*'CCTA Output and Adj Factors'!$F$45</f>
        <v>6731.6165413533772</v>
      </c>
      <c r="T18" s="332">
        <f>_xlfn.FORECAST.LINEAR(A18,'CCTA Output and Adj Factors'!$C$46:$D$46,'CCTA Output and Adj Factors'!$C$3:$D$3)*'CCTA Output and Adj Factors'!$F$2</f>
        <v>74.117647058823351</v>
      </c>
      <c r="U18" s="259"/>
      <c r="V18" s="382">
        <f>'CCTA Output and Adj Factors'!$B$47*'CCTA Output and Adj Factors'!$F$2</f>
        <v>90</v>
      </c>
      <c r="W18" s="201"/>
      <c r="X18" s="260">
        <f>_xlfn.FORECAST.LINEAR(A18,'CCTA Output and Adj Factors'!$B$5:$D$5,'CCTA Output and Adj Factors'!$B$3:$D$3)*'CCTA Output and Adj Factors'!$F$2</f>
        <v>90989.84962406024</v>
      </c>
      <c r="Y18" s="259"/>
      <c r="Z18" s="260">
        <f>_xlfn.FORECAST.LINEAR(A18,'CCTA Output and Adj Factors'!$B$38:$D$38,'CCTA Output and Adj Factors'!$B$3:$D$3)*'CCTA Output and Adj Factors'!$F$2</f>
        <v>84556.466165413411</v>
      </c>
      <c r="AA18" s="262"/>
      <c r="AB18" s="284">
        <f>_xlfn.FORECAST.LINEAR(A18,'CCTA Output and Adj Factors'!$B$39:$D$39,'CCTA Output and Adj Factors'!$B$3:$D$3)*'CCTA Output and Adj Factors'!$F$2</f>
        <v>604.96240601504223</v>
      </c>
      <c r="AC18" s="261"/>
      <c r="AD18" s="260">
        <f>_xlfn.FORECAST.LINEAR(A18,'CCTA Output and Adj Factors'!$B$40:$D$40,'CCTA Output and Adj Factors'!$B$3:$D$3)*'CCTA Output and Adj Factors'!$F$2</f>
        <v>521.65413533834567</v>
      </c>
      <c r="AE18" s="262">
        <f>AD18+(F18-G18)*'CCTA Output and Adj Factors'!$F$40</f>
        <v>1909.5676691729334</v>
      </c>
      <c r="AF18" s="258">
        <f>_xlfn.FORECAST.LINEAR(A18,'CCTA Output and Adj Factors'!$B$41:$D$41,'CCTA Output and Adj Factors'!$B$3:$D$3)*'CCTA Output and Adj Factors'!$F$2</f>
        <v>5306.7669172932347</v>
      </c>
      <c r="AG18" s="261">
        <f>AF18+(F18-G18)*'CCTA Output and Adj Factors'!$F$41</f>
        <v>6694.6804511278224</v>
      </c>
      <c r="AH18" s="258">
        <f>_xlfn.FORECAST.LINEAR(A18,'CCTA Output and Adj Factors'!$B$10:$D$10,'CCTA Output and Adj Factors'!$B$3:$D$3)</f>
        <v>165334.08521303302</v>
      </c>
      <c r="AI18" s="259"/>
      <c r="AJ18" s="258">
        <f>_xlfn.FORECAST.LINEAR(A18,'CCTA Output and Adj Factors'!$B$11:$D$11,'CCTA Output and Adj Factors'!$B$3:$D$3)</f>
        <v>218776.44110275665</v>
      </c>
      <c r="AK18" s="259"/>
      <c r="AL18" s="258">
        <f>_xlfn.FORECAST.LINEAR(A18,'CCTA Output and Adj Factors'!$B$12:$D$12,'CCTA Output and Adj Factors'!$B$3:$D$3)</f>
        <v>529466.91729323287</v>
      </c>
      <c r="AM18" s="259"/>
      <c r="AN18" s="258">
        <f>_xlfn.FORECAST.LINEAR(A18,'CCTA Output and Adj Factors'!$B$13:$D$13,'CCTA Output and Adj Factors'!$B$3:$D$3)</f>
        <v>1067334.5864661671</v>
      </c>
      <c r="AO18" s="259"/>
      <c r="AP18" s="258">
        <f>_xlfn.FORECAST.LINEAR(A18,'CCTA Output and Adj Factors'!$B$14:$D$14,'CCTA Output and Adj Factors'!$B$3:$D$3)</f>
        <v>676292.73182957433</v>
      </c>
      <c r="AQ18" s="259"/>
      <c r="AR18" s="258">
        <f>_xlfn.FORECAST.LINEAR(A18,'CCTA Output and Adj Factors'!$B$15:$D$15,'CCTA Output and Adj Factors'!$B$3:$D$3)</f>
        <v>278118.29573934805</v>
      </c>
      <c r="AS18" s="259"/>
      <c r="AT18" s="258">
        <f>_xlfn.FORECAST.LINEAR(A18,'CCTA Output and Adj Factors'!$B$16:$D$16,'CCTA Output and Adj Factors'!$B$3:$D$3)</f>
        <v>97671.929824561579</v>
      </c>
      <c r="AU18" s="259"/>
      <c r="AV18" s="258">
        <f>_xlfn.FORECAST.LINEAR(A18,'CCTA Output and Adj Factors'!$B$60:$D$60,'CCTA Output and Adj Factors'!$B$3:$D$3)*'CCTA Output and Adj Factors'!$F$2</f>
        <v>388676.46616541414</v>
      </c>
      <c r="AW18" s="261">
        <f>AV18*'CCTA Output and Adj Factors'!$F$60</f>
        <v>0</v>
      </c>
      <c r="AX18" s="351">
        <f>_xlfn.FORECAST.LINEAR(A18,'CCTA Output and Adj Factors'!$C$61:$D$61,'CCTA Output and Adj Factors'!$C$3:$D$3)*'CCTA Output and Adj Factors'!$F$2</f>
        <v>349758.57</v>
      </c>
      <c r="AY18" s="261"/>
      <c r="AZ18" s="332">
        <f>_xlfn.FORECAST.LINEAR(A18,'CCTA Output and Adj Factors'!$C$62:$D$62,'CCTA Output and Adj Factors'!$C$3:$D$3)*'CCTA Output and Adj Factors'!$F$2</f>
        <v>738678.57</v>
      </c>
      <c r="BA18" s="262">
        <f>AZ18*'CCTA Output and Adj Factors'!$F$61</f>
        <v>701744.64149999991</v>
      </c>
      <c r="BB18" s="351">
        <v>10282562.226399997</v>
      </c>
      <c r="BC18" s="261">
        <v>8198271.8328</v>
      </c>
      <c r="BD18" s="351">
        <v>365667.22</v>
      </c>
      <c r="BE18" s="261">
        <v>291545.94</v>
      </c>
      <c r="BF18" s="403">
        <f>(AZ18/1000000)*'BCA Constants'!$B$243</f>
        <v>0.50017994274695987</v>
      </c>
      <c r="BG18" s="404">
        <f>(BA18/1000000)*'BCA Constants'!$B$243</f>
        <v>0.47517094560961193</v>
      </c>
      <c r="BH18" s="403">
        <f>(AZ18/1000000)*'BCA Constants'!$B$244</f>
        <v>0.23978688267911999</v>
      </c>
      <c r="BI18" s="404">
        <f>(BA18/1000000)*'BCA Constants'!$B$244</f>
        <v>0.22779753854516399</v>
      </c>
      <c r="BJ18" s="422">
        <f>(AZ18/1000000)*'BCA Constants'!$B$245</f>
        <v>2.3216667455099997E-3</v>
      </c>
      <c r="BK18" s="416">
        <f>(BA18/1000000)*'BCA Constants'!$B$245</f>
        <v>2.2055834082344997E-3</v>
      </c>
      <c r="BL18" s="399">
        <f>(S18-R18)*'BCA Constants'!$B$81*'BCA Constants'!$B$9</f>
        <v>72171.503759398562</v>
      </c>
      <c r="BM18" s="261">
        <f t="shared" si="10"/>
        <v>34288.161540549889</v>
      </c>
      <c r="BN18" s="284">
        <f>(AG18-AF18)*'BCA Constants'!$B$43*'BCA Constants'!$B$9</f>
        <v>2554871.2330827089</v>
      </c>
      <c r="BO18" s="261">
        <f t="shared" si="1"/>
        <v>1213800.9185354658</v>
      </c>
      <c r="BP18" s="284">
        <f>(AE18-AD18)*'BCA Constants'!$B$44*'BCA Constants'!$B$9</f>
        <v>2277010.9436090244</v>
      </c>
      <c r="BQ18" s="261">
        <f t="shared" si="2"/>
        <v>1081791.4966043488</v>
      </c>
      <c r="BR18" s="284">
        <f>_xlfn.FORECAST.LINEAR(A18,$BR$10:$BR$17,$A$10:$A$17)</f>
        <v>17036.257455350249</v>
      </c>
      <c r="BS18" s="261">
        <f t="shared" si="3"/>
        <v>8093.8031944412214</v>
      </c>
      <c r="BT18" s="284">
        <f>_xlfn.FORECAST.LINEAR(A18,$BT$10:$BT$17,$A$10:$A$17)</f>
        <v>2008.5390543289541</v>
      </c>
      <c r="BU18" s="261">
        <f t="shared" si="4"/>
        <v>954.24243597482166</v>
      </c>
      <c r="BV18" s="284">
        <f>_xlfn.FORECAST.LINEAR(A18,$BV$10:$BV$17,$A$10:$A$17)</f>
        <v>67519.003134269267</v>
      </c>
      <c r="BW18" s="261">
        <f t="shared" si="5"/>
        <v>32077.792008362216</v>
      </c>
      <c r="BX18" s="284">
        <f>_xlfn.FORECAST.LINEAR(A18,$BX$10:$BX$17,$A$10:$A$17)</f>
        <v>248799.63868389837</v>
      </c>
      <c r="BY18" s="261">
        <f t="shared" si="6"/>
        <v>179738.15259533268</v>
      </c>
      <c r="BZ18" s="284">
        <f>(BF18-BG18)*'BCA Constants'!$B$248+('Project Benefit Calculations'!BH18-'Project Benefit Calculations'!BI18)*'BCA Constants'!$B$249+('Project Benefit Calculations'!BJ18-'Project Benefit Calculations'!BK18)*'BCA Constants'!$B$250</f>
        <v>5233.2251557073887</v>
      </c>
      <c r="CA18" s="261">
        <f t="shared" si="0"/>
        <v>2486.2675733508868</v>
      </c>
      <c r="CB18" s="284">
        <f>(AZ18-BA18)*'BCA Constants'!B$30</f>
        <v>16620.267825000017</v>
      </c>
      <c r="CC18" s="261">
        <f t="shared" si="7"/>
        <v>7896.1695176898911</v>
      </c>
      <c r="CD18" s="284">
        <f>(BB18-BC18)*'BCA Constants'!B$13*'CCTA Output and Adj Factors'!$F$50*'CCTA Output and Adj Factors'!$F$2</f>
        <v>1057360.5166732783</v>
      </c>
      <c r="CE18" s="261">
        <f t="shared" si="7"/>
        <v>502344.36465613125</v>
      </c>
      <c r="CF18" s="284">
        <f>(BB18-BC18)*'BCA Constants'!B$15*(1-'CCTA Output and Adj Factors'!$F$50)*'CCTA Output and Adj Factors'!$F$2</f>
        <v>100045.93889279995</v>
      </c>
      <c r="CG18" s="261">
        <f t="shared" ref="CG18" si="16">CF18/(1.07^($A18-$A$7))</f>
        <v>47531.104875801946</v>
      </c>
    </row>
    <row r="19" spans="1:85" x14ac:dyDescent="0.25">
      <c r="A19" s="204">
        <v>2032</v>
      </c>
      <c r="B19" s="200">
        <v>6</v>
      </c>
      <c r="C19" s="301">
        <v>12</v>
      </c>
      <c r="D19" s="336">
        <f>_xlfn.FORECAST.LINEAR(A19,'CCTA Output and Adj Factors'!$B$54:$D$54,'CCTA Output and Adj Factors'!$B$3:$D$3)*'CCTA Output and Adj Factors'!$F$2</f>
        <v>122610.15037593953</v>
      </c>
      <c r="E19" s="310"/>
      <c r="F19" s="258">
        <f>_xlfn.FORECAST.LINEAR(A19,'CCTA Output and Adj Factors'!$B$50:$D$50,'CCTA Output and Adj Factors'!$B$3:$D$3)*'CCTA Output and Adj Factors'!$F$2</f>
        <v>111951.35338345863</v>
      </c>
      <c r="G19" s="295">
        <f>'CCTA Output and Adj Factors'!$F$50*F19</f>
        <v>106353.7857142857</v>
      </c>
      <c r="H19" s="332">
        <f>_xlfn.FORECAST.LINEAR(A19,'CCTA Output and Adj Factors'!$B$51:$D$51,'CCTA Output and Adj Factors'!$B$3:$D$3)*'CCTA Output and Adj Factors'!$F$2</f>
        <v>4610.9398496240747</v>
      </c>
      <c r="I19" s="261"/>
      <c r="J19" s="332">
        <f>_xlfn.FORECAST.LINEAR(A19,'CCTA Output and Adj Factors'!$B$52:$D$52,'CCTA Output and Adj Factors'!$B$3:$D$3)*'CCTA Output and Adj Factors'!$F$2</f>
        <v>604.39849624060207</v>
      </c>
      <c r="K19" s="261"/>
      <c r="L19" s="332">
        <f>_xlfn.FORECAST.LINEAR(A19,'CCTA Output and Adj Factors'!$B$53:$D$53,'CCTA Output and Adj Factors'!$B$3:$D$3)*'CCTA Output and Adj Factors'!$F$2</f>
        <v>5443.4586466165447</v>
      </c>
      <c r="M19" s="295"/>
      <c r="N19" s="332">
        <f>_xlfn.FORECAST.LINEAR(A19,'CCTA Output and Adj Factors'!$B$48:$D$48,'CCTA Output and Adj Factors'!$B$3:$D$3)*'CCTA Output and Adj Factors'!$F$2</f>
        <v>30790.338345864693</v>
      </c>
      <c r="O19" s="259"/>
      <c r="P19" s="332">
        <f>_xlfn.FORECAST.LINEAR(A19,'CCTA Output and Adj Factors'!$B$44:$D$44,'CCTA Output and Adj Factors'!$B$3:$D$3)*'CCTA Output and Adj Factors'!$F$2</f>
        <v>26633.2706766917</v>
      </c>
      <c r="Q19" s="347">
        <f>P19-+(F19-G19)*'CCTA Output and Adj Factors'!$F$45</f>
        <v>23834.486842105234</v>
      </c>
      <c r="R19" s="332">
        <f>_xlfn.FORECAST.LINEAR(A19,'CCTA Output and Adj Factors'!$B$45:$D$45,'CCTA Output and Adj Factors'!$B$3:$D$3)*'CCTA Output and Adj Factors'!$F$2</f>
        <v>3989.7368421052579</v>
      </c>
      <c r="S19" s="347">
        <f>R19+(F19-G19)*'CCTA Output and Adj Factors'!$F$45</f>
        <v>6788.5206766917236</v>
      </c>
      <c r="T19" s="332">
        <f>_xlfn.FORECAST.LINEAR(A19,'CCTA Output and Adj Factors'!$C$46:$D$46,'CCTA Output and Adj Factors'!$C$3:$D$3)*'CCTA Output and Adj Factors'!$F$2</f>
        <v>75.882352941176208</v>
      </c>
      <c r="U19" s="259"/>
      <c r="V19" s="382">
        <f>'CCTA Output and Adj Factors'!$B$47*'CCTA Output and Adj Factors'!$F$2</f>
        <v>90</v>
      </c>
      <c r="W19" s="201"/>
      <c r="X19" s="260">
        <f>_xlfn.FORECAST.LINEAR(A19,'CCTA Output and Adj Factors'!$B$5:$D$5,'CCTA Output and Adj Factors'!$B$3:$D$3)*'CCTA Output and Adj Factors'!$F$2</f>
        <v>91819.812030075118</v>
      </c>
      <c r="Y19" s="259"/>
      <c r="Z19" s="260">
        <f>_xlfn.FORECAST.LINEAR(A19,'CCTA Output and Adj Factors'!$B$38:$D$38,'CCTA Output and Adj Factors'!$B$3:$D$3)*'CCTA Output and Adj Factors'!$F$2</f>
        <v>85318.082706766872</v>
      </c>
      <c r="AA19" s="262"/>
      <c r="AB19" s="284">
        <f>_xlfn.FORECAST.LINEAR(A19,'CCTA Output and Adj Factors'!$B$39:$D$39,'CCTA Output and Adj Factors'!$B$3:$D$3)*'CCTA Output and Adj Factors'!$F$2</f>
        <v>621.20300751880279</v>
      </c>
      <c r="AC19" s="261"/>
      <c r="AD19" s="260">
        <f>_xlfn.FORECAST.LINEAR(A19,'CCTA Output and Adj Factors'!$B$40:$D$40,'CCTA Output and Adj Factors'!$B$3:$D$3)*'CCTA Output and Adj Factors'!$F$2</f>
        <v>527.06766917293191</v>
      </c>
      <c r="AE19" s="262">
        <f>AD19+(F19-G19)*'CCTA Output and Adj Factors'!$F$40</f>
        <v>1926.4595864661646</v>
      </c>
      <c r="AF19" s="258">
        <f>_xlfn.FORECAST.LINEAR(A19,'CCTA Output and Adj Factors'!$B$41:$D$41,'CCTA Output and Adj Factors'!$B$3:$D$3)*'CCTA Output and Adj Factors'!$F$2</f>
        <v>5353.4586466165447</v>
      </c>
      <c r="AG19" s="261">
        <f>AF19+(F19-G19)*'CCTA Output and Adj Factors'!$F$41</f>
        <v>6752.8505639097775</v>
      </c>
      <c r="AH19" s="258">
        <f>_xlfn.FORECAST.LINEAR(A19,'CCTA Output and Adj Factors'!$B$10:$D$10,'CCTA Output and Adj Factors'!$B$3:$D$3)</f>
        <v>166609.27318295743</v>
      </c>
      <c r="AI19" s="259"/>
      <c r="AJ19" s="258">
        <f>_xlfn.FORECAST.LINEAR(A19,'CCTA Output and Adj Factors'!$B$11:$D$11,'CCTA Output and Adj Factors'!$B$3:$D$3)</f>
        <v>220453.88471177919</v>
      </c>
      <c r="AK19" s="259"/>
      <c r="AL19" s="258">
        <f>_xlfn.FORECAST.LINEAR(A19,'CCTA Output and Adj Factors'!$B$12:$D$12,'CCTA Output and Adj Factors'!$B$3:$D$3)</f>
        <v>533208.64661654085</v>
      </c>
      <c r="AM19" s="259"/>
      <c r="AN19" s="258">
        <f>_xlfn.FORECAST.LINEAR(A19,'CCTA Output and Adj Factors'!$B$13:$D$13,'CCTA Output and Adj Factors'!$B$3:$D$3)</f>
        <v>1077043.233082708</v>
      </c>
      <c r="AO19" s="259"/>
      <c r="AP19" s="258">
        <f>_xlfn.FORECAST.LINEAR(A19,'CCTA Output and Adj Factors'!$B$14:$D$14,'CCTA Output and Adj Factors'!$B$3:$D$3)</f>
        <v>683832.58145363629</v>
      </c>
      <c r="AQ19" s="259"/>
      <c r="AR19" s="258">
        <f>_xlfn.FORECAST.LINEAR(A19,'CCTA Output and Adj Factors'!$B$15:$D$15,'CCTA Output and Adj Factors'!$B$3:$D$3)</f>
        <v>280764.53634085227</v>
      </c>
      <c r="AS19" s="259"/>
      <c r="AT19" s="258">
        <f>_xlfn.FORECAST.LINEAR(A19,'CCTA Output and Adj Factors'!$B$16:$D$16,'CCTA Output and Adj Factors'!$B$3:$D$3)</f>
        <v>98748.245614035288</v>
      </c>
      <c r="AU19" s="259"/>
      <c r="AV19" s="258">
        <f>_xlfn.FORECAST.LINEAR(A19,'CCTA Output and Adj Factors'!$B$60:$D$60,'CCTA Output and Adj Factors'!$B$3:$D$3)*'CCTA Output and Adj Factors'!$F$2</f>
        <v>392198.08270676673</v>
      </c>
      <c r="AW19" s="261">
        <f>AV19*'CCTA Output and Adj Factors'!$F$60</f>
        <v>0</v>
      </c>
      <c r="AX19" s="351">
        <f>_xlfn.FORECAST.LINEAR(A19,'CCTA Output and Adj Factors'!$C$61:$D$61,'CCTA Output and Adj Factors'!$C$3:$D$3)*'CCTA Output and Adj Factors'!$F$2</f>
        <v>352294.17</v>
      </c>
      <c r="AY19" s="261"/>
      <c r="AZ19" s="332">
        <f>_xlfn.FORECAST.LINEAR(A19,'CCTA Output and Adj Factors'!$C$62:$D$62,'CCTA Output and Adj Factors'!$C$3:$D$3)*'CCTA Output and Adj Factors'!$F$2</f>
        <v>744694.16999999993</v>
      </c>
      <c r="BA19" s="262">
        <f>AZ19*'CCTA Output and Adj Factors'!$F$61</f>
        <v>707459.46149999986</v>
      </c>
      <c r="BB19" s="351">
        <v>10625376.995324999</v>
      </c>
      <c r="BC19" s="261">
        <v>8527311.2991500013</v>
      </c>
      <c r="BD19" s="351">
        <v>377858.356875</v>
      </c>
      <c r="BE19" s="261">
        <v>303247.2012500001</v>
      </c>
      <c r="BF19" s="403">
        <f>(AZ19/1000000)*'BCA Constants'!$B$243</f>
        <v>0.50425327394375996</v>
      </c>
      <c r="BG19" s="404">
        <f>(BA19/1000000)*'BCA Constants'!$B$243</f>
        <v>0.47904061024657185</v>
      </c>
      <c r="BH19" s="403">
        <f>(AZ19/1000000)*'BCA Constants'!$B$244</f>
        <v>0.24173964268872</v>
      </c>
      <c r="BI19" s="404">
        <f>(BA19/1000000)*'BCA Constants'!$B$244</f>
        <v>0.22965266055428396</v>
      </c>
      <c r="BJ19" s="422">
        <f>(AZ19/1000000)*'BCA Constants'!$B$245</f>
        <v>2.3405737763099997E-3</v>
      </c>
      <c r="BK19" s="416">
        <f>(BA19/1000000)*'BCA Constants'!$B$245</f>
        <v>2.2235450874944994E-3</v>
      </c>
      <c r="BL19" s="399">
        <f>(S19-R19)*'BCA Constants'!$B$81*'BCA Constants'!$B$9</f>
        <v>72768.379699248107</v>
      </c>
      <c r="BM19" s="261">
        <f t="shared" si="10"/>
        <v>32310.0308410369</v>
      </c>
      <c r="BN19" s="284">
        <f>(AG19-AF19)*'BCA Constants'!$B$43*'BCA Constants'!$B$9</f>
        <v>2576000.6413533827</v>
      </c>
      <c r="BO19" s="261">
        <f t="shared" si="1"/>
        <v>1143775.091772706</v>
      </c>
      <c r="BP19" s="284">
        <f>(AE19-AD19)*'BCA Constants'!$B$44*'BCA Constants'!$B$9</f>
        <v>2295842.3795112777</v>
      </c>
      <c r="BQ19" s="261">
        <f t="shared" si="2"/>
        <v>1019381.4730347141</v>
      </c>
      <c r="BR19" s="284">
        <f t="shared" ref="BR19:BR40" si="17">_xlfn.FORECAST.LINEAR(A19,$BR$10:$BR$17,$A$10:$A$17)</f>
        <v>17434.478532851324</v>
      </c>
      <c r="BS19" s="261">
        <f t="shared" si="3"/>
        <v>7741.1169717118564</v>
      </c>
      <c r="BT19" s="284">
        <f t="shared" ref="BT19:BT40" si="18">_xlfn.FORECAST.LINEAR(A19,$BT$10:$BT$17,$A$10:$A$17)</f>
        <v>2056.5214067404449</v>
      </c>
      <c r="BU19" s="261">
        <f t="shared" si="4"/>
        <v>913.12009902733803</v>
      </c>
      <c r="BV19" s="284">
        <f t="shared" ref="BV19:BV40" si="19">_xlfn.FORECAST.LINEAR(A19,$BV$10:$BV$17,$A$10:$A$17)</f>
        <v>69010.137452434283</v>
      </c>
      <c r="BW19" s="261">
        <f t="shared" si="5"/>
        <v>30641.326337727791</v>
      </c>
      <c r="BX19" s="284">
        <f t="shared" ref="BX19:BX40" si="20">_xlfn.FORECAST.LINEAR(A19,$BX$10:$BX$17,$A$10:$A$17)</f>
        <v>255144.71986237913</v>
      </c>
      <c r="BY19" s="261">
        <f t="shared" si="6"/>
        <v>178953.37304894518</v>
      </c>
      <c r="BZ19" s="284">
        <f>(BF19-BG19)*'BCA Constants'!$B$248+('Project Benefit Calculations'!BH19-'Project Benefit Calculations'!BI19)*'BCA Constants'!$B$249+('Project Benefit Calculations'!BJ19-'Project Benefit Calculations'!BK19)*'BCA Constants'!$B$250</f>
        <v>5275.8431366875138</v>
      </c>
      <c r="CA19" s="261">
        <f t="shared" si="0"/>
        <v>2342.5374477674095</v>
      </c>
      <c r="CB19" s="284">
        <f>(AZ19-BA19)*'BCA Constants'!B$30</f>
        <v>16755.61882500003</v>
      </c>
      <c r="CC19" s="261">
        <f t="shared" si="7"/>
        <v>7439.6951427792101</v>
      </c>
      <c r="CD19" s="284">
        <f>(BB19-BC19)*'BCA Constants'!B$13*'CCTA Output and Adj Factors'!$F$50*'CCTA Output and Adj Factors'!$F$2</f>
        <v>1064348.7276695762</v>
      </c>
      <c r="CE19" s="261">
        <f t="shared" si="7"/>
        <v>472583.5638879523</v>
      </c>
      <c r="CF19" s="284">
        <f>(BB19-BC19)*'BCA Constants'!B$15*(1-'CCTA Output and Adj Factors'!$F$50)*'CCTA Output and Adj Factors'!$F$2</f>
        <v>100707.15341639999</v>
      </c>
      <c r="CG19" s="261">
        <f t="shared" ref="CG19" si="21">CF19/(1.07^($A19-$A$7))</f>
        <v>44715.180497973066</v>
      </c>
    </row>
    <row r="20" spans="1:85" s="2" customFormat="1" x14ac:dyDescent="0.25">
      <c r="A20" s="287">
        <v>2033</v>
      </c>
      <c r="B20" s="288">
        <v>7</v>
      </c>
      <c r="C20" s="303">
        <v>13</v>
      </c>
      <c r="D20" s="337">
        <f>_xlfn.FORECAST.LINEAR(A20,'CCTA Output and Adj Factors'!$B$54:$D$54,'CCTA Output and Adj Factors'!$B$3:$D$3)*'CCTA Output and Adj Factors'!$F$2</f>
        <v>123632.18045112737</v>
      </c>
      <c r="E20" s="312"/>
      <c r="F20" s="266">
        <f>_xlfn.FORECAST.LINEAR(A20,'CCTA Output and Adj Factors'!$B$50:$D$50,'CCTA Output and Adj Factors'!$B$3:$D$3)*'CCTA Output and Adj Factors'!$F$2</f>
        <v>112869.62406015045</v>
      </c>
      <c r="G20" s="294">
        <f>'CCTA Output and Adj Factors'!$F$50*F20</f>
        <v>107226.14285714293</v>
      </c>
      <c r="H20" s="334">
        <f>_xlfn.FORECAST.LINEAR(A20,'CCTA Output and Adj Factors'!$B$51:$D$51,'CCTA Output and Adj Factors'!$B$3:$D$3)*'CCTA Output and Adj Factors'!$F$2</f>
        <v>4661.1278195488776</v>
      </c>
      <c r="I20" s="290"/>
      <c r="J20" s="334">
        <f>_xlfn.FORECAST.LINEAR(A20,'CCTA Output and Adj Factors'!$B$52:$D$52,'CCTA Output and Adj Factors'!$B$3:$D$3)*'CCTA Output and Adj Factors'!$F$2</f>
        <v>611.27819548872185</v>
      </c>
      <c r="K20" s="290"/>
      <c r="L20" s="334">
        <f>_xlfn.FORECAST.LINEAR(A20,'CCTA Output and Adj Factors'!$B$53:$D$53,'CCTA Output and Adj Factors'!$B$3:$D$3)*'CCTA Output and Adj Factors'!$F$2</f>
        <v>5490.1503759398538</v>
      </c>
      <c r="M20" s="294"/>
      <c r="N20" s="334">
        <f>_xlfn.FORECAST.LINEAR(A20,'CCTA Output and Adj Factors'!$B$48:$D$48,'CCTA Output and Adj Factors'!$B$3:$D$3)*'CCTA Output and Adj Factors'!$F$2</f>
        <v>30982.40601503765</v>
      </c>
      <c r="O20" s="331"/>
      <c r="P20" s="334">
        <f>_xlfn.FORECAST.LINEAR(A20,'CCTA Output and Adj Factors'!$B$44:$D$44,'CCTA Output and Adj Factors'!$B$3:$D$3)*'CCTA Output and Adj Factors'!$F$2</f>
        <v>26789.924812030007</v>
      </c>
      <c r="Q20" s="331">
        <f>P20-+(F20-G20)*'CCTA Output and Adj Factors'!$F$45</f>
        <v>23968.184210526244</v>
      </c>
      <c r="R20" s="334">
        <f>_xlfn.FORECAST.LINEAR(A20,'CCTA Output and Adj Factors'!$B$45:$D$45,'CCTA Output and Adj Factors'!$B$3:$D$3)*'CCTA Output and Adj Factors'!$F$2</f>
        <v>4023.6842105263145</v>
      </c>
      <c r="S20" s="331">
        <f>R20+(F20-G20)*'CCTA Output and Adj Factors'!$F$45</f>
        <v>6845.4248120300781</v>
      </c>
      <c r="T20" s="334">
        <f>_xlfn.FORECAST.LINEAR(A20,'CCTA Output and Adj Factors'!$C$46:$D$46,'CCTA Output and Adj Factors'!$C$3:$D$3)*'CCTA Output and Adj Factors'!$F$2</f>
        <v>77.647058823529079</v>
      </c>
      <c r="U20" s="331"/>
      <c r="V20" s="357">
        <f>'CCTA Output and Adj Factors'!$B$47*'CCTA Output and Adj Factors'!$F$2</f>
        <v>90</v>
      </c>
      <c r="W20" s="384"/>
      <c r="X20" s="385">
        <f>_xlfn.FORECAST.LINEAR(A20,'CCTA Output and Adj Factors'!$B$5:$D$5,'CCTA Output and Adj Factors'!$B$3:$D$3)*'CCTA Output and Adj Factors'!$F$2</f>
        <v>92649.774436090214</v>
      </c>
      <c r="Y20" s="290"/>
      <c r="Z20" s="385">
        <f>_xlfn.FORECAST.LINEAR(A20,'CCTA Output and Adj Factors'!$B$38:$D$38,'CCTA Output and Adj Factors'!$B$3:$D$3)*'CCTA Output and Adj Factors'!$F$2</f>
        <v>86079.699248120116</v>
      </c>
      <c r="AA20" s="291"/>
      <c r="AB20" s="289">
        <f>_xlfn.FORECAST.LINEAR(A20,'CCTA Output and Adj Factors'!$B$39:$D$39,'CCTA Output and Adj Factors'!$B$3:$D$3)*'CCTA Output and Adj Factors'!$F$2</f>
        <v>637.4436090225563</v>
      </c>
      <c r="AC20" s="290"/>
      <c r="AD20" s="385">
        <f>_xlfn.FORECAST.LINEAR(A20,'CCTA Output and Adj Factors'!$B$40:$D$40,'CCTA Output and Adj Factors'!$B$3:$D$3)*'CCTA Output and Adj Factors'!$F$2</f>
        <v>532.48120300751816</v>
      </c>
      <c r="AE20" s="291">
        <f>AD20+(F20-G20)*'CCTA Output and Adj Factors'!$F$40</f>
        <v>1943.3515037593997</v>
      </c>
      <c r="AF20" s="289">
        <f>_xlfn.FORECAST.LINEAR(A20,'CCTA Output and Adj Factors'!$B$41:$D$41,'CCTA Output and Adj Factors'!$B$3:$D$3)*'CCTA Output and Adj Factors'!F2</f>
        <v>5400.1503759398538</v>
      </c>
      <c r="AG20" s="290">
        <f>AF20+(F20-G20)*'CCTA Output and Adj Factors'!$F$41</f>
        <v>6811.0206766917354</v>
      </c>
      <c r="AH20" s="289">
        <f>_xlfn.FORECAST.LINEAR(A20,'CCTA Output and Adj Factors'!$B$10:$D$10,'CCTA Output and Adj Factors'!$B$3:$D$3)</f>
        <v>167884.46115288232</v>
      </c>
      <c r="AI20" s="290"/>
      <c r="AJ20" s="289">
        <f>_xlfn.FORECAST.LINEAR(A20,'CCTA Output and Adj Factors'!$B$11:$D$11,'CCTA Output and Adj Factors'!$B$3:$D$3)</f>
        <v>222131.32832080172</v>
      </c>
      <c r="AK20" s="290"/>
      <c r="AL20" s="289">
        <f>_xlfn.FORECAST.LINEAR(A20,'CCTA Output and Adj Factors'!$B$12:$D$12,'CCTA Output and Adj Factors'!$B$3:$D$3)</f>
        <v>536950.37593984883</v>
      </c>
      <c r="AM20" s="290"/>
      <c r="AN20" s="289">
        <f>_xlfn.FORECAST.LINEAR(A20,'CCTA Output and Adj Factors'!$B$13:$D$13,'CCTA Output and Adj Factors'!$B$3:$D$3)</f>
        <v>1086751.8796992488</v>
      </c>
      <c r="AO20" s="290"/>
      <c r="AP20" s="289">
        <f>_xlfn.FORECAST.LINEAR(A20,'CCTA Output and Adj Factors'!$B$14:$D$14,'CCTA Output and Adj Factors'!$B$3:$D$3)</f>
        <v>691372.43107769638</v>
      </c>
      <c r="AQ20" s="290"/>
      <c r="AR20" s="289">
        <f>_xlfn.FORECAST.LINEAR(A20,'CCTA Output and Adj Factors'!$B$15:$D$15,'CCTA Output and Adj Factors'!$B$3:$D$3)</f>
        <v>283410.77694235556</v>
      </c>
      <c r="AS20" s="290"/>
      <c r="AT20" s="289">
        <f>_xlfn.FORECAST.LINEAR(A20,'CCTA Output and Adj Factors'!$B$16:$D$16,'CCTA Output and Adj Factors'!$B$3:$D$3)</f>
        <v>99824.561403508997</v>
      </c>
      <c r="AU20" s="290"/>
      <c r="AV20" s="266">
        <f>_xlfn.FORECAST.LINEAR(A20,'CCTA Output and Adj Factors'!$B$60:$D$60,'CCTA Output and Adj Factors'!$B$3:$D$3)*'CCTA Output and Adj Factors'!$F$2</f>
        <v>395719.69924812019</v>
      </c>
      <c r="AW20" s="290">
        <f>AV20*'CCTA Output and Adj Factors'!$F$60</f>
        <v>0</v>
      </c>
      <c r="AX20" s="352">
        <f>_xlfn.FORECAST.LINEAR(A20,'CCTA Output and Adj Factors'!$C$61:$D$61,'CCTA Output and Adj Factors'!$C$3:$D$3)*'CCTA Output and Adj Factors'!$F$2</f>
        <v>354829.76999999996</v>
      </c>
      <c r="AY20" s="290"/>
      <c r="AZ20" s="334">
        <f>_xlfn.FORECAST.LINEAR(A20,'CCTA Output and Adj Factors'!$C$62:$D$62,'CCTA Output and Adj Factors'!$C$3:$D$3)*'CCTA Output and Adj Factors'!$F$2</f>
        <v>750709.77</v>
      </c>
      <c r="BA20" s="291">
        <f>AZ20*'CCTA Output and Adj Factors'!$F$61</f>
        <v>713174.28150000004</v>
      </c>
      <c r="BB20" s="352">
        <v>10968191.764249999</v>
      </c>
      <c r="BC20" s="290">
        <v>8856350.7654999997</v>
      </c>
      <c r="BD20" s="352">
        <v>390049.49375000002</v>
      </c>
      <c r="BE20" s="290">
        <v>314948.46250000002</v>
      </c>
      <c r="BF20" s="401">
        <f>(AZ20/1000000)*'BCA Constants'!$B$243</f>
        <v>0.50832660514056005</v>
      </c>
      <c r="BG20" s="402">
        <f>(BA20/1000000)*'BCA Constants'!$B$243</f>
        <v>0.482910274883532</v>
      </c>
      <c r="BH20" s="401">
        <f>(AZ20/1000000)*'BCA Constants'!$B$244</f>
        <v>0.24369240269832004</v>
      </c>
      <c r="BI20" s="402">
        <f>(BA20/1000000)*'BCA Constants'!$B$244</f>
        <v>0.23150778256340404</v>
      </c>
      <c r="BJ20" s="412">
        <f>(AZ20/1000000)*'BCA Constants'!$B$245</f>
        <v>2.3594808071100001E-3</v>
      </c>
      <c r="BK20" s="415">
        <f>(BA20/1000000)*'BCA Constants'!$B$245</f>
        <v>2.2415067667545001E-3</v>
      </c>
      <c r="BL20" s="398">
        <f>(S20-R20)*'BCA Constants'!$B$81*'BCA Constants'!$B$9</f>
        <v>73365.255639097857</v>
      </c>
      <c r="BM20" s="290">
        <f t="shared" si="10"/>
        <v>30443.972800479663</v>
      </c>
      <c r="BN20" s="289">
        <f>(AG20-AF20)*'BCA Constants'!$B$43*'BCA Constants'!$B$9</f>
        <v>2597130.049624064</v>
      </c>
      <c r="BO20" s="290">
        <f t="shared" si="1"/>
        <v>1077716.63713698</v>
      </c>
      <c r="BP20" s="289">
        <f>(AE20-AD20)*'BCA Constants'!$B$44*'BCA Constants'!$B$9</f>
        <v>2314673.815413537</v>
      </c>
      <c r="BQ20" s="290">
        <f t="shared" si="2"/>
        <v>960507.34185513319</v>
      </c>
      <c r="BR20" s="289">
        <f t="shared" si="17"/>
        <v>17832.699610352283</v>
      </c>
      <c r="BS20" s="290">
        <f t="shared" si="3"/>
        <v>7399.9363481719747</v>
      </c>
      <c r="BT20" s="289">
        <f t="shared" si="18"/>
        <v>2104.5037591519504</v>
      </c>
      <c r="BU20" s="290">
        <f t="shared" si="4"/>
        <v>873.294240495841</v>
      </c>
      <c r="BV20" s="289">
        <f t="shared" si="19"/>
        <v>70501.271770599298</v>
      </c>
      <c r="BW20" s="290">
        <f t="shared" si="5"/>
        <v>29255.521315726481</v>
      </c>
      <c r="BX20" s="289">
        <f t="shared" si="20"/>
        <v>261489.80104085803</v>
      </c>
      <c r="BY20" s="290">
        <f t="shared" si="6"/>
        <v>178061.83041332176</v>
      </c>
      <c r="BZ20" s="289">
        <f>(BF20-BG20)*'BCA Constants'!$B$248+('Project Benefit Calculations'!BH20-'Project Benefit Calculations'!BI20)*'BCA Constants'!$B$249+('Project Benefit Calculations'!BJ20-'Project Benefit Calculations'!BK20)*'BCA Constants'!$B$250</f>
        <v>5318.4611176676071</v>
      </c>
      <c r="CA20" s="290">
        <f t="shared" si="0"/>
        <v>2206.9722813095932</v>
      </c>
      <c r="CB20" s="289">
        <f>(AZ20-BA20)*'BCA Constants'!B$30</f>
        <v>16890.969824999989</v>
      </c>
      <c r="CC20" s="290">
        <f t="shared" si="7"/>
        <v>7009.1519677330698</v>
      </c>
      <c r="CD20" s="289">
        <f>(BB20-BC20)*'BCA Constants'!B$13*'CCTA Output and Adj Factors'!$F$50*'CCTA Output and Adj Factors'!$F$2</f>
        <v>1071336.9386658745</v>
      </c>
      <c r="CE20" s="290">
        <f t="shared" si="7"/>
        <v>444566.74125608068</v>
      </c>
      <c r="CF20" s="289">
        <f>(BB20-BC20)*'BCA Constants'!B$15*(1-'CCTA Output and Adj Factors'!$F$50)*'CCTA Output and Adj Factors'!$F$2</f>
        <v>101368.36794000005</v>
      </c>
      <c r="CG20" s="290">
        <f t="shared" ref="CG20" si="22">CF20/(1.07^($A20-$A$7))</f>
        <v>42064.268835584262</v>
      </c>
    </row>
    <row r="21" spans="1:85" x14ac:dyDescent="0.25">
      <c r="A21" s="204">
        <v>2034</v>
      </c>
      <c r="B21" s="200">
        <v>8</v>
      </c>
      <c r="C21" s="301">
        <v>14</v>
      </c>
      <c r="D21" s="336">
        <f>_xlfn.FORECAST.LINEAR(A21,'CCTA Output and Adj Factors'!$B$54:$D$54,'CCTA Output and Adj Factors'!$B$3:$D$3)*'CCTA Output and Adj Factors'!$F$2</f>
        <v>124654.21052631564</v>
      </c>
      <c r="E21" s="310"/>
      <c r="F21" s="258">
        <f>_xlfn.FORECAST.LINEAR(A21,'CCTA Output and Adj Factors'!$B$50:$D$50,'CCTA Output and Adj Factors'!$B$3:$D$3)*'CCTA Output and Adj Factors'!$F$2</f>
        <v>113787.89473684206</v>
      </c>
      <c r="G21" s="295">
        <f>'CCTA Output and Adj Factors'!$F$50*F21</f>
        <v>108098.49999999996</v>
      </c>
      <c r="H21" s="332">
        <f>_xlfn.FORECAST.LINEAR(A21,'CCTA Output and Adj Factors'!$B$51:$D$51,'CCTA Output and Adj Factors'!$B$3:$D$3)*'CCTA Output and Adj Factors'!$F$2</f>
        <v>4711.3157894736942</v>
      </c>
      <c r="I21" s="261"/>
      <c r="J21" s="332">
        <f>_xlfn.FORECAST.LINEAR(A21,'CCTA Output and Adj Factors'!$B$52:$D$52,'CCTA Output and Adj Factors'!$B$3:$D$3)*'CCTA Output and Adj Factors'!$F$2</f>
        <v>618.15789473684151</v>
      </c>
      <c r="K21" s="261"/>
      <c r="L21" s="332">
        <f>_xlfn.FORECAST.LINEAR(A21,'CCTA Output and Adj Factors'!$B$53:$D$53,'CCTA Output and Adj Factors'!$B$3:$D$3)*'CCTA Output and Adj Factors'!$F$2</f>
        <v>5536.8421052631638</v>
      </c>
      <c r="M21" s="295"/>
      <c r="N21" s="332">
        <f>_xlfn.FORECAST.LINEAR(A21,'CCTA Output and Adj Factors'!$B$48:$D$48,'CCTA Output and Adj Factors'!$B$3:$D$3)*'CCTA Output and Adj Factors'!$F$2</f>
        <v>31174.473684210552</v>
      </c>
      <c r="O21" s="259"/>
      <c r="P21" s="332">
        <f>_xlfn.FORECAST.LINEAR(A21,'CCTA Output and Adj Factors'!$B$44:$D$44,'CCTA Output and Adj Factors'!$B$3:$D$3)*'CCTA Output and Adj Factors'!$F$2</f>
        <v>26946.578947368376</v>
      </c>
      <c r="Q21" s="347">
        <f>P21-+(F21-G21)*'CCTA Output and Adj Factors'!$F$45</f>
        <v>24101.881578947323</v>
      </c>
      <c r="R21" s="332">
        <f>_xlfn.FORECAST.LINEAR(A21,'CCTA Output and Adj Factors'!$B$45:$D$45,'CCTA Output and Adj Factors'!$B$3:$D$3)*'CCTA Output and Adj Factors'!$F$2</f>
        <v>4057.6315789473706</v>
      </c>
      <c r="S21" s="347">
        <f>R21+(F21-G21)*'CCTA Output and Adj Factors'!$F$45</f>
        <v>6902.3289473684235</v>
      </c>
      <c r="T21" s="332">
        <f>_xlfn.FORECAST.LINEAR(A21,'CCTA Output and Adj Factors'!$C$46:$D$46,'CCTA Output and Adj Factors'!$C$3:$D$3)*'CCTA Output and Adj Factors'!$F$2</f>
        <v>79.411764705882376</v>
      </c>
      <c r="U21" s="259"/>
      <c r="V21" s="382">
        <f>'CCTA Output and Adj Factors'!$B$47*'CCTA Output and Adj Factors'!$F$2</f>
        <v>90</v>
      </c>
      <c r="W21" s="201"/>
      <c r="X21" s="260">
        <f>_xlfn.FORECAST.LINEAR(A21,'CCTA Output and Adj Factors'!$B$5:$D$5,'CCTA Output and Adj Factors'!$B$3:$D$3)*'CCTA Output and Adj Factors'!$F$2</f>
        <v>93479.736842105311</v>
      </c>
      <c r="Y21" s="259"/>
      <c r="Z21" s="260">
        <f>_xlfn.FORECAST.LINEAR(A21,'CCTA Output and Adj Factors'!$B$38:$D$38,'CCTA Output and Adj Factors'!$B$3:$D$3)*'CCTA Output and Adj Factors'!$F$2</f>
        <v>86841.315789473578</v>
      </c>
      <c r="AA21" s="262"/>
      <c r="AB21" s="284">
        <f>_xlfn.FORECAST.LINEAR(A21,'CCTA Output and Adj Factors'!$B$39:$D$39,'CCTA Output and Adj Factors'!$B$3:$D$3)*'CCTA Output and Adj Factors'!$F$2</f>
        <v>653.68421052631686</v>
      </c>
      <c r="AC21" s="261"/>
      <c r="AD21" s="260">
        <f>_xlfn.FORECAST.LINEAR(A21,'CCTA Output and Adj Factors'!$B$40:$D$40,'CCTA Output and Adj Factors'!$B$3:$D$3)*'CCTA Output and Adj Factors'!$F$2</f>
        <v>537.89473684210441</v>
      </c>
      <c r="AE21" s="262">
        <f>AD21+(F21-G21)*'CCTA Output and Adj Factors'!$F$40</f>
        <v>1960.2434210526312</v>
      </c>
      <c r="AF21" s="258">
        <f>_xlfn.FORECAST.LINEAR(A21,'CCTA Output and Adj Factors'!$B$41:$D$41,'CCTA Output and Adj Factors'!$B$3:$D$3)*'CCTA Output and Adj Factors'!$F$2</f>
        <v>5446.8421052631638</v>
      </c>
      <c r="AG21" s="261">
        <f>AF21+(F21-G21)*'CCTA Output and Adj Factors'!$F$41</f>
        <v>6869.1907894736905</v>
      </c>
      <c r="AH21" s="258">
        <f>_xlfn.FORECAST.LINEAR(A21,'CCTA Output and Adj Factors'!$B$10:$D$10,'CCTA Output and Adj Factors'!$B$3:$D$3)</f>
        <v>169159.6491228072</v>
      </c>
      <c r="AI21" s="259"/>
      <c r="AJ21" s="258">
        <f>_xlfn.FORECAST.LINEAR(A21,'CCTA Output and Adj Factors'!$B$11:$D$11,'CCTA Output and Adj Factors'!$B$3:$D$3)</f>
        <v>223808.77192982426</v>
      </c>
      <c r="AK21" s="259"/>
      <c r="AL21" s="258">
        <f>_xlfn.FORECAST.LINEAR(A21,'CCTA Output and Adj Factors'!$B$12:$D$12,'CCTA Output and Adj Factors'!$B$3:$D$3)</f>
        <v>540692.10526315775</v>
      </c>
      <c r="AM21" s="259"/>
      <c r="AN21" s="258">
        <f>_xlfn.FORECAST.LINEAR(A21,'CCTA Output and Adj Factors'!$B$13:$D$13,'CCTA Output and Adj Factors'!$B$3:$D$3)</f>
        <v>1096460.5263157897</v>
      </c>
      <c r="AO21" s="259"/>
      <c r="AP21" s="258">
        <f>_xlfn.FORECAST.LINEAR(A21,'CCTA Output and Adj Factors'!$B$14:$D$14,'CCTA Output and Adj Factors'!$B$3:$D$3)</f>
        <v>698912.28070175648</v>
      </c>
      <c r="AQ21" s="259"/>
      <c r="AR21" s="258">
        <f>_xlfn.FORECAST.LINEAR(A21,'CCTA Output and Adj Factors'!$B$15:$D$15,'CCTA Output and Adj Factors'!$B$3:$D$3)</f>
        <v>286057.01754385978</v>
      </c>
      <c r="AS21" s="259"/>
      <c r="AT21" s="258">
        <f>_xlfn.FORECAST.LINEAR(A21,'CCTA Output and Adj Factors'!$B$16:$D$16,'CCTA Output and Adj Factors'!$B$3:$D$3)</f>
        <v>100900.87719298271</v>
      </c>
      <c r="AU21" s="259"/>
      <c r="AV21" s="258">
        <f>_xlfn.FORECAST.LINEAR(A21,'CCTA Output and Adj Factors'!$B$60:$D$60,'CCTA Output and Adj Factors'!$B$3:$D$3)*'CCTA Output and Adj Factors'!$F$2</f>
        <v>399241.31578947365</v>
      </c>
      <c r="AW21" s="261">
        <f>AV21*'CCTA Output and Adj Factors'!$F$60</f>
        <v>0</v>
      </c>
      <c r="AX21" s="351">
        <f>_xlfn.FORECAST.LINEAR(A21,'CCTA Output and Adj Factors'!$C$61:$D$61,'CCTA Output and Adj Factors'!$C$3:$D$3)*'CCTA Output and Adj Factors'!$F$2</f>
        <v>357365.37</v>
      </c>
      <c r="AY21" s="261"/>
      <c r="AZ21" s="332">
        <f>_xlfn.FORECAST.LINEAR(A21,'CCTA Output and Adj Factors'!$C$62:$D$62,'CCTA Output and Adj Factors'!$C$3:$D$3)*'CCTA Output and Adj Factors'!$F$2</f>
        <v>756725.37</v>
      </c>
      <c r="BA21" s="262">
        <f>AZ21*'CCTA Output and Adj Factors'!$F$61</f>
        <v>718889.10149999999</v>
      </c>
      <c r="BB21" s="351">
        <v>11311006.533174999</v>
      </c>
      <c r="BC21" s="261">
        <v>9185390.2318500001</v>
      </c>
      <c r="BD21" s="351">
        <v>402240.63062499999</v>
      </c>
      <c r="BE21" s="261">
        <v>326649.72375000006</v>
      </c>
      <c r="BF21" s="403">
        <f>(AZ21/1000000)*'BCA Constants'!$B$243</f>
        <v>0.51239993633735992</v>
      </c>
      <c r="BG21" s="404">
        <f>(BA21/1000000)*'BCA Constants'!$B$243</f>
        <v>0.48677993952049192</v>
      </c>
      <c r="BH21" s="403">
        <f>(AZ21/1000000)*'BCA Constants'!$B$244</f>
        <v>0.24564516270792</v>
      </c>
      <c r="BI21" s="404">
        <f>(BA21/1000000)*'BCA Constants'!$B$244</f>
        <v>0.23336290457252401</v>
      </c>
      <c r="BJ21" s="422">
        <f>(AZ21/1000000)*'BCA Constants'!$B$245</f>
        <v>2.3783878379099997E-3</v>
      </c>
      <c r="BK21" s="416">
        <f>(BA21/1000000)*'BCA Constants'!$B$245</f>
        <v>2.2594684460144998E-3</v>
      </c>
      <c r="BL21" s="399">
        <f>(S21-R21)*'BCA Constants'!$B$81*'BCA Constants'!$B$9</f>
        <v>73962.131578947374</v>
      </c>
      <c r="BM21" s="261">
        <f t="shared" si="10"/>
        <v>28683.78980870773</v>
      </c>
      <c r="BN21" s="284">
        <f>(AG21-AF21)*'BCA Constants'!$B$43*'BCA Constants'!$B$9</f>
        <v>2618259.4578947378</v>
      </c>
      <c r="BO21" s="261">
        <f t="shared" si="1"/>
        <v>1015406.159228254</v>
      </c>
      <c r="BP21" s="284">
        <f>(AE21-AD21)*'BCA Constants'!$B$44*'BCA Constants'!$B$9</f>
        <v>2333505.2513157902</v>
      </c>
      <c r="BQ21" s="261">
        <f t="shared" si="2"/>
        <v>904973.56846472912</v>
      </c>
      <c r="BR21" s="284">
        <f t="shared" si="17"/>
        <v>18230.920687853242</v>
      </c>
      <c r="BS21" s="261">
        <f t="shared" si="3"/>
        <v>7070.2653623689157</v>
      </c>
      <c r="BT21" s="284">
        <f t="shared" si="18"/>
        <v>2152.4861115634412</v>
      </c>
      <c r="BU21" s="261">
        <f t="shared" si="4"/>
        <v>834.77122511464358</v>
      </c>
      <c r="BV21" s="284">
        <f t="shared" si="19"/>
        <v>71992.406088764314</v>
      </c>
      <c r="BW21" s="261">
        <f t="shared" si="5"/>
        <v>27919.896303543439</v>
      </c>
      <c r="BX21" s="284">
        <f t="shared" si="20"/>
        <v>267834.88221933879</v>
      </c>
      <c r="BY21" s="261">
        <f t="shared" si="6"/>
        <v>177070.40965453759</v>
      </c>
      <c r="BZ21" s="284">
        <f>(BF21-BG21)*'BCA Constants'!$B$248+('Project Benefit Calculations'!BH21-'Project Benefit Calculations'!BI21)*'BCA Constants'!$B$249+('Project Benefit Calculations'!BJ21-'Project Benefit Calculations'!BK21)*'BCA Constants'!$B$250</f>
        <v>5361.0790986477095</v>
      </c>
      <c r="CA21" s="261">
        <f t="shared" si="0"/>
        <v>2079.1189049132017</v>
      </c>
      <c r="CB21" s="284">
        <f>(AZ21-BA21)*'BCA Constants'!B$30</f>
        <v>17026.320825000003</v>
      </c>
      <c r="CC21" s="261">
        <f t="shared" si="7"/>
        <v>6603.1007670273239</v>
      </c>
      <c r="CD21" s="284">
        <f>(BB21-BC21)*'BCA Constants'!B$13*'CCTA Output and Adj Factors'!$F$50*'CCTA Output and Adj Factors'!$F$2</f>
        <v>1078325.1496621722</v>
      </c>
      <c r="CE21" s="261">
        <f t="shared" si="7"/>
        <v>418193.08446157759</v>
      </c>
      <c r="CF21" s="284">
        <f>(BB21-BC21)*'BCA Constants'!B$15*(1-'CCTA Output and Adj Factors'!$F$50)*'CCTA Output and Adj Factors'!$F$2</f>
        <v>102029.58246360003</v>
      </c>
      <c r="CG21" s="261">
        <f t="shared" ref="CG21" si="23">CF21/(1.07^($A21-$A$7))</f>
        <v>39568.831173182996</v>
      </c>
    </row>
    <row r="22" spans="1:85" x14ac:dyDescent="0.25">
      <c r="A22" s="199">
        <v>2035</v>
      </c>
      <c r="B22" s="200">
        <v>9</v>
      </c>
      <c r="C22" s="301">
        <v>15</v>
      </c>
      <c r="D22" s="336">
        <f>_xlfn.FORECAST.LINEAR(A22,'CCTA Output and Adj Factors'!$B$54:$D$54,'CCTA Output and Adj Factors'!$B$3:$D$3)*'CCTA Output and Adj Factors'!$F$2</f>
        <v>125676.24060150346</v>
      </c>
      <c r="E22" s="310"/>
      <c r="F22" s="258">
        <f>_xlfn.FORECAST.LINEAR(A22,'CCTA Output and Adj Factors'!$B$50:$D$50,'CCTA Output and Adj Factors'!$B$3:$D$3)*'CCTA Output and Adj Factors'!$F$2</f>
        <v>114706.16541353389</v>
      </c>
      <c r="G22" s="295">
        <f>'CCTA Output and Adj Factors'!$F$50*F22</f>
        <v>108970.85714285719</v>
      </c>
      <c r="H22" s="332">
        <f>_xlfn.FORECAST.LINEAR(A22,'CCTA Output and Adj Factors'!$B$51:$D$51,'CCTA Output and Adj Factors'!$B$3:$D$3)*'CCTA Output and Adj Factors'!$F$2</f>
        <v>4761.5037593984971</v>
      </c>
      <c r="I22" s="261"/>
      <c r="J22" s="332">
        <f>_xlfn.FORECAST.LINEAR(A22,'CCTA Output and Adj Factors'!$B$52:$D$52,'CCTA Output and Adj Factors'!$B$3:$D$3)*'CCTA Output and Adj Factors'!$F$2</f>
        <v>625.037593984963</v>
      </c>
      <c r="K22" s="261"/>
      <c r="L22" s="332">
        <f>_xlfn.FORECAST.LINEAR(A22,'CCTA Output and Adj Factors'!$B$53:$D$53,'CCTA Output and Adj Factors'!$B$3:$D$3)*'CCTA Output and Adj Factors'!$F$2</f>
        <v>5583.5338345864602</v>
      </c>
      <c r="M22" s="295"/>
      <c r="N22" s="332">
        <f>_xlfn.FORECAST.LINEAR(A22,'CCTA Output and Adj Factors'!$B$48:$D$48,'CCTA Output and Adj Factors'!$B$3:$D$3)*'CCTA Output and Adj Factors'!$F$2</f>
        <v>31366.541353383509</v>
      </c>
      <c r="O22" s="259"/>
      <c r="P22" s="332">
        <f>_xlfn.FORECAST.LINEAR(A22,'CCTA Output and Adj Factors'!$B$44:$D$44,'CCTA Output and Adj Factors'!$B$3:$D$3)*'CCTA Output and Adj Factors'!$F$2</f>
        <v>27103.233082706742</v>
      </c>
      <c r="Q22" s="347">
        <f>P22-+(F22-G22)*'CCTA Output and Adj Factors'!$F$45</f>
        <v>24235.578947368391</v>
      </c>
      <c r="R22" s="332">
        <f>_xlfn.FORECAST.LINEAR(A22,'CCTA Output and Adj Factors'!$B$45:$D$45,'CCTA Output and Adj Factors'!$B$3:$D$3)*'CCTA Output and Adj Factors'!$F$2</f>
        <v>4091.5789473684131</v>
      </c>
      <c r="S22" s="347">
        <f>R22+(F22-G22)*'CCTA Output and Adj Factors'!$F$45</f>
        <v>6959.2330827067635</v>
      </c>
      <c r="T22" s="332">
        <f>_xlfn.FORECAST.LINEAR(A22,'CCTA Output and Adj Factors'!$C$46:$D$46,'CCTA Output and Adj Factors'!$C$3:$D$3)*'CCTA Output and Adj Factors'!$F$2</f>
        <v>81.176470588235233</v>
      </c>
      <c r="U22" s="259"/>
      <c r="V22" s="382">
        <f>'CCTA Output and Adj Factors'!$B$47*'CCTA Output and Adj Factors'!$F$2</f>
        <v>90</v>
      </c>
      <c r="W22" s="201"/>
      <c r="X22" s="260">
        <f>_xlfn.FORECAST.LINEAR(A22,'CCTA Output and Adj Factors'!$B$5:$D$5,'CCTA Output and Adj Factors'!$B$3:$D$3)*'CCTA Output and Adj Factors'!$F$2</f>
        <v>94309.699248120407</v>
      </c>
      <c r="Y22" s="259"/>
      <c r="Z22" s="260">
        <f>_xlfn.FORECAST.LINEAR(A22,'CCTA Output and Adj Factors'!$B$38:$D$38,'CCTA Output and Adj Factors'!$B$3:$D$3)*'CCTA Output and Adj Factors'!$F$2</f>
        <v>87602.93233082704</v>
      </c>
      <c r="AA22" s="262"/>
      <c r="AB22" s="284">
        <f>_xlfn.FORECAST.LINEAR(A22,'CCTA Output and Adj Factors'!$B$39:$D$39,'CCTA Output and Adj Factors'!$B$3:$D$3)*'CCTA Output and Adj Factors'!$F$2</f>
        <v>669.92481203007742</v>
      </c>
      <c r="AC22" s="261"/>
      <c r="AD22" s="260">
        <f>_xlfn.FORECAST.LINEAR(A22,'CCTA Output and Adj Factors'!$B$40:$D$40,'CCTA Output and Adj Factors'!$B$3:$D$3)*'CCTA Output and Adj Factors'!$F$2</f>
        <v>543.30827067669247</v>
      </c>
      <c r="AE22" s="262">
        <f>AD22+(F22-G22)*'CCTA Output and Adj Factors'!$F$40</f>
        <v>1977.1353383458679</v>
      </c>
      <c r="AF22" s="258">
        <f>_xlfn.FORECAST.LINEAR(A22,'CCTA Output and Adj Factors'!$B$41:$D$41,'CCTA Output and Adj Factors'!$B$3:$D$3)*'CCTA Output and Adj Factors'!$F$2</f>
        <v>5493.5338345864602</v>
      </c>
      <c r="AG22" s="261">
        <f>AF22+(F22-G22)*'CCTA Output and Adj Factors'!$F$41</f>
        <v>6927.3609022556357</v>
      </c>
      <c r="AH22" s="258">
        <f>_xlfn.FORECAST.LINEAR(A22,'CCTA Output and Adj Factors'!$B$10:$D$10,'CCTA Output and Adj Factors'!$B$3:$D$3)</f>
        <v>170434.83709273208</v>
      </c>
      <c r="AI22" s="259"/>
      <c r="AJ22" s="258">
        <f>_xlfn.FORECAST.LINEAR(A22,'CCTA Output and Adj Factors'!$B$11:$D$11,'CCTA Output and Adj Factors'!$B$3:$D$3)</f>
        <v>225486.21553884679</v>
      </c>
      <c r="AK22" s="259"/>
      <c r="AL22" s="258">
        <f>_xlfn.FORECAST.LINEAR(A22,'CCTA Output and Adj Factors'!$B$12:$D$12,'CCTA Output and Adj Factors'!$B$3:$D$3)</f>
        <v>544433.83458646573</v>
      </c>
      <c r="AM22" s="259"/>
      <c r="AN22" s="258">
        <f>_xlfn.FORECAST.LINEAR(A22,'CCTA Output and Adj Factors'!$B$13:$D$13,'CCTA Output and Adj Factors'!$B$3:$D$3)</f>
        <v>1106169.1729323305</v>
      </c>
      <c r="AO22" s="259"/>
      <c r="AP22" s="258">
        <f>_xlfn.FORECAST.LINEAR(A22,'CCTA Output and Adj Factors'!$B$14:$D$14,'CCTA Output and Adj Factors'!$B$3:$D$3)</f>
        <v>706452.13032581657</v>
      </c>
      <c r="AQ22" s="259"/>
      <c r="AR22" s="258">
        <f>_xlfn.FORECAST.LINEAR(A22,'CCTA Output and Adj Factors'!$B$15:$D$15,'CCTA Output and Adj Factors'!$B$3:$D$3)</f>
        <v>288703.25814536307</v>
      </c>
      <c r="AS22" s="259"/>
      <c r="AT22" s="258">
        <f>_xlfn.FORECAST.LINEAR(A22,'CCTA Output and Adj Factors'!$B$16:$D$16,'CCTA Output and Adj Factors'!$B$3:$D$3)</f>
        <v>101977.19298245641</v>
      </c>
      <c r="AU22" s="259"/>
      <c r="AV22" s="258">
        <f>_xlfn.FORECAST.LINEAR(A22,'CCTA Output and Adj Factors'!$B$60:$D$60,'CCTA Output and Adj Factors'!$B$3:$D$3)*'CCTA Output and Adj Factors'!$F$2</f>
        <v>402762.93233082711</v>
      </c>
      <c r="AW22" s="261">
        <f>AV22*'CCTA Output and Adj Factors'!$F$60</f>
        <v>0</v>
      </c>
      <c r="AX22" s="351">
        <f>_xlfn.FORECAST.LINEAR(A22,'CCTA Output and Adj Factors'!$C$61:$D$61,'CCTA Output and Adj Factors'!$C$3:$D$3)*'CCTA Output and Adj Factors'!$F$2</f>
        <v>359900.97</v>
      </c>
      <c r="AY22" s="261"/>
      <c r="AZ22" s="332">
        <f>_xlfn.FORECAST.LINEAR(A22,'CCTA Output and Adj Factors'!$C$62:$D$62,'CCTA Output and Adj Factors'!$C$3:$D$3)*'CCTA Output and Adj Factors'!$F$2</f>
        <v>762740.97</v>
      </c>
      <c r="BA22" s="262">
        <f>AZ22*'CCTA Output and Adj Factors'!$F$61</f>
        <v>724603.92149999994</v>
      </c>
      <c r="BB22" s="351">
        <v>11653821.302099999</v>
      </c>
      <c r="BC22" s="261">
        <v>9514429.6982000005</v>
      </c>
      <c r="BD22" s="351">
        <v>414431.76749999996</v>
      </c>
      <c r="BE22" s="261">
        <v>338350.98500000004</v>
      </c>
      <c r="BF22" s="403">
        <f>(AZ22/1000000)*'BCA Constants'!$B$243</f>
        <v>0.5164732675341599</v>
      </c>
      <c r="BG22" s="404">
        <f>(BA22/1000000)*'BCA Constants'!$B$243</f>
        <v>0.49064960415745196</v>
      </c>
      <c r="BH22" s="403">
        <f>(AZ22/1000000)*'BCA Constants'!$B$244</f>
        <v>0.24759792271751999</v>
      </c>
      <c r="BI22" s="404">
        <f>(BA22/1000000)*'BCA Constants'!$B$244</f>
        <v>0.23521802658164401</v>
      </c>
      <c r="BJ22" s="422">
        <f>(AZ22/1000000)*'BCA Constants'!$B$245</f>
        <v>2.3972948687099997E-3</v>
      </c>
      <c r="BK22" s="416">
        <f>(BA22/1000000)*'BCA Constants'!$B$245</f>
        <v>2.2774301252745E-3</v>
      </c>
      <c r="BL22" s="399">
        <f>(S22-R22)*'BCA Constants'!$B$81*'BCA Constants'!$B$9</f>
        <v>74559.007518797109</v>
      </c>
      <c r="BM22" s="261">
        <f t="shared" si="10"/>
        <v>27023.61550367278</v>
      </c>
      <c r="BN22" s="284">
        <f>(AG22-AF22)*'BCA Constants'!$B$43*'BCA Constants'!$B$9</f>
        <v>2639388.8661654182</v>
      </c>
      <c r="BO22" s="261">
        <f t="shared" si="1"/>
        <v>956635.98883001658</v>
      </c>
      <c r="BP22" s="284">
        <f>(AE22-AD22)*'BCA Constants'!$B$44*'BCA Constants'!$B$9</f>
        <v>2352336.6872180491</v>
      </c>
      <c r="BQ22" s="261">
        <f t="shared" si="2"/>
        <v>852595.06914087629</v>
      </c>
      <c r="BR22" s="284">
        <f t="shared" si="17"/>
        <v>18629.141765354318</v>
      </c>
      <c r="BS22" s="261">
        <f t="shared" si="3"/>
        <v>6752.0582822059141</v>
      </c>
      <c r="BT22" s="284">
        <f t="shared" si="18"/>
        <v>2200.4684639749466</v>
      </c>
      <c r="BU22" s="261">
        <f t="shared" si="4"/>
        <v>797.55103611625657</v>
      </c>
      <c r="BV22" s="284">
        <f t="shared" si="19"/>
        <v>73483.540406929795</v>
      </c>
      <c r="BW22" s="261">
        <f t="shared" si="5"/>
        <v>26633.816729720205</v>
      </c>
      <c r="BX22" s="284">
        <f t="shared" si="20"/>
        <v>274179.96339781769</v>
      </c>
      <c r="BY22" s="261">
        <f t="shared" si="6"/>
        <v>175985.68524368404</v>
      </c>
      <c r="BZ22" s="284">
        <f>(BF22-BG22)*'BCA Constants'!$B$248+('Project Benefit Calculations'!BH22-'Project Benefit Calculations'!BI22)*'BCA Constants'!$B$249+('Project Benefit Calculations'!BJ22-'Project Benefit Calculations'!BK22)*'BCA Constants'!$B$250</f>
        <v>5403.697079627811</v>
      </c>
      <c r="CA22" s="261">
        <f t="shared" si="0"/>
        <v>1958.5484978641432</v>
      </c>
      <c r="CB22" s="284">
        <f>(AZ22-BA22)*'BCA Constants'!B$30</f>
        <v>17161.671825000016</v>
      </c>
      <c r="CC22" s="261">
        <f t="shared" si="7"/>
        <v>6220.1796433796862</v>
      </c>
      <c r="CD22" s="284">
        <f>(BB22-BC22)*'BCA Constants'!B$13*'CCTA Output and Adj Factors'!$F$50*'CCTA Output and Adj Factors'!$F$2</f>
        <v>1085313.3606584694</v>
      </c>
      <c r="CE22" s="261">
        <f t="shared" si="7"/>
        <v>393367.50763533497</v>
      </c>
      <c r="CF22" s="284">
        <f>(BB22-BC22)*'BCA Constants'!B$15*(1-'CCTA Output and Adj Factors'!$F$50)*'CCTA Output and Adj Factors'!$F$2</f>
        <v>102690.79698720002</v>
      </c>
      <c r="CG22" s="261">
        <f t="shared" ref="CG22" si="24">CF22/(1.07^($A22-$A$7))</f>
        <v>37219.870621912269</v>
      </c>
    </row>
    <row r="23" spans="1:85" x14ac:dyDescent="0.25">
      <c r="A23" s="204">
        <v>2036</v>
      </c>
      <c r="B23" s="200">
        <v>10</v>
      </c>
      <c r="C23" s="301">
        <v>16</v>
      </c>
      <c r="D23" s="336">
        <f>_xlfn.FORECAST.LINEAR(A23,'CCTA Output and Adj Factors'!$B$54:$D$54,'CCTA Output and Adj Factors'!$B$3:$D$3)*'CCTA Output and Adj Factors'!$F$2</f>
        <v>126698.2706766913</v>
      </c>
      <c r="E23" s="310"/>
      <c r="F23" s="258">
        <f>_xlfn.FORECAST.LINEAR(A23,'CCTA Output and Adj Factors'!$B$50:$D$50,'CCTA Output and Adj Factors'!$B$3:$D$3)*'CCTA Output and Adj Factors'!$F$2</f>
        <v>115624.4360902255</v>
      </c>
      <c r="G23" s="295">
        <f>'CCTA Output and Adj Factors'!$F$50*F23</f>
        <v>109843.21428571422</v>
      </c>
      <c r="H23" s="332">
        <f>_xlfn.FORECAST.LINEAR(A23,'CCTA Output and Adj Factors'!$B$51:$D$51,'CCTA Output and Adj Factors'!$B$3:$D$3)*'CCTA Output and Adj Factors'!$F$2</f>
        <v>4811.6917293233146</v>
      </c>
      <c r="I23" s="261"/>
      <c r="J23" s="332">
        <f>_xlfn.FORECAST.LINEAR(A23,'CCTA Output and Adj Factors'!$B$52:$D$52,'CCTA Output and Adj Factors'!$B$3:$D$3)*'CCTA Output and Adj Factors'!$F$2</f>
        <v>631.91729323308277</v>
      </c>
      <c r="K23" s="261"/>
      <c r="L23" s="332">
        <f>_xlfn.FORECAST.LINEAR(A23,'CCTA Output and Adj Factors'!$B$53:$D$53,'CCTA Output and Adj Factors'!$B$3:$D$3)*'CCTA Output and Adj Factors'!$F$2</f>
        <v>5630.2255639097693</v>
      </c>
      <c r="M23" s="295"/>
      <c r="N23" s="332">
        <f>_xlfn.FORECAST.LINEAR(A23,'CCTA Output and Adj Factors'!$B$48:$D$48,'CCTA Output and Adj Factors'!$B$3:$D$3)*'CCTA Output and Adj Factors'!$F$2</f>
        <v>31558.609022556411</v>
      </c>
      <c r="O23" s="259"/>
      <c r="P23" s="332">
        <f>_xlfn.FORECAST.LINEAR(A23,'CCTA Output and Adj Factors'!$B$44:$D$44,'CCTA Output and Adj Factors'!$B$3:$D$3)*'CCTA Output and Adj Factors'!$F$2</f>
        <v>27259.887218045053</v>
      </c>
      <c r="Q23" s="347">
        <f>P23-+(F23-G23)*'CCTA Output and Adj Factors'!$F$45</f>
        <v>24369.276315789411</v>
      </c>
      <c r="R23" s="332">
        <f>_xlfn.FORECAST.LINEAR(A23,'CCTA Output and Adj Factors'!$B$45:$D$45,'CCTA Output and Adj Factors'!$B$3:$D$3)*'CCTA Output and Adj Factors'!$F$2</f>
        <v>4125.5263157894697</v>
      </c>
      <c r="S23" s="347">
        <f>R23+(F23-G23)*'CCTA Output and Adj Factors'!$F$45</f>
        <v>7016.1372180451108</v>
      </c>
      <c r="T23" s="332">
        <f>_xlfn.FORECAST.LINEAR(A23,'CCTA Output and Adj Factors'!$C$46:$D$46,'CCTA Output and Adj Factors'!$C$3:$D$3)*'CCTA Output and Adj Factors'!$F$2</f>
        <v>82.941176470588104</v>
      </c>
      <c r="U23" s="259"/>
      <c r="V23" s="382">
        <f>'CCTA Output and Adj Factors'!$B$47*'CCTA Output and Adj Factors'!$F$2</f>
        <v>90</v>
      </c>
      <c r="W23" s="201"/>
      <c r="X23" s="260">
        <f>_xlfn.FORECAST.LINEAR(A23,'CCTA Output and Adj Factors'!$B$5:$D$5,'CCTA Output and Adj Factors'!$B$3:$D$3)*'CCTA Output and Adj Factors'!$F$2</f>
        <v>95139.661654135285</v>
      </c>
      <c r="Y23" s="259"/>
      <c r="Z23" s="260">
        <f>_xlfn.FORECAST.LINEAR(A23,'CCTA Output and Adj Factors'!$B$38:$D$38,'CCTA Output and Adj Factors'!$B$3:$D$3)*'CCTA Output and Adj Factors'!$F$2</f>
        <v>88364.548872180283</v>
      </c>
      <c r="AA23" s="262"/>
      <c r="AB23" s="284">
        <f>_xlfn.FORECAST.LINEAR(A23,'CCTA Output and Adj Factors'!$B$39:$D$39,'CCTA Output and Adj Factors'!$B$3:$D$3)*'CCTA Output and Adj Factors'!$F$2</f>
        <v>686.16541353383798</v>
      </c>
      <c r="AC23" s="261"/>
      <c r="AD23" s="260">
        <f>_xlfn.FORECAST.LINEAR(A23,'CCTA Output and Adj Factors'!$B$40:$D$40,'CCTA Output and Adj Factors'!$B$3:$D$3)*'CCTA Output and Adj Factors'!$F$2</f>
        <v>548.72180451127872</v>
      </c>
      <c r="AE23" s="262">
        <f>AD23+(F23-G23)*'CCTA Output and Adj Factors'!$F$40</f>
        <v>1994.0272556390992</v>
      </c>
      <c r="AF23" s="258">
        <f>_xlfn.FORECAST.LINEAR(A23,'CCTA Output and Adj Factors'!$B$41:$D$41,'CCTA Output and Adj Factors'!$B$3:$D$3)*'CCTA Output and Adj Factors'!$F$2</f>
        <v>5540.2255639097693</v>
      </c>
      <c r="AG23" s="261">
        <f>AF23+(F23-G23)*'CCTA Output and Adj Factors'!$F$41</f>
        <v>6985.5310150375899</v>
      </c>
      <c r="AH23" s="258">
        <f>_xlfn.FORECAST.LINEAR(A23,'CCTA Output and Adj Factors'!$B$10:$D$10,'CCTA Output and Adj Factors'!$B$3:$D$3)</f>
        <v>171710.02506265696</v>
      </c>
      <c r="AI23" s="259"/>
      <c r="AJ23" s="258">
        <f>_xlfn.FORECAST.LINEAR(A23,'CCTA Output and Adj Factors'!$B$11:$D$11,'CCTA Output and Adj Factors'!$B$3:$D$3)</f>
        <v>227163.65914786933</v>
      </c>
      <c r="AK23" s="259"/>
      <c r="AL23" s="258">
        <f>_xlfn.FORECAST.LINEAR(A23,'CCTA Output and Adj Factors'!$B$12:$D$12,'CCTA Output and Adj Factors'!$B$3:$D$3)</f>
        <v>548175.56390977371</v>
      </c>
      <c r="AM23" s="259"/>
      <c r="AN23" s="258">
        <f>_xlfn.FORECAST.LINEAR(A23,'CCTA Output and Adj Factors'!$B$13:$D$13,'CCTA Output and Adj Factors'!$B$3:$D$3)</f>
        <v>1115877.8195488714</v>
      </c>
      <c r="AO23" s="259"/>
      <c r="AP23" s="258">
        <f>_xlfn.FORECAST.LINEAR(A23,'CCTA Output and Adj Factors'!$B$14:$D$14,'CCTA Output and Adj Factors'!$B$3:$D$3)</f>
        <v>713991.97994987667</v>
      </c>
      <c r="AQ23" s="259"/>
      <c r="AR23" s="258">
        <f>_xlfn.FORECAST.LINEAR(A23,'CCTA Output and Adj Factors'!$B$15:$D$15,'CCTA Output and Adj Factors'!$B$3:$D$3)</f>
        <v>291349.49874686729</v>
      </c>
      <c r="AS23" s="259"/>
      <c r="AT23" s="258">
        <f>_xlfn.FORECAST.LINEAR(A23,'CCTA Output and Adj Factors'!$B$16:$D$16,'CCTA Output and Adj Factors'!$B$3:$D$3)</f>
        <v>103053.50877193012</v>
      </c>
      <c r="AU23" s="259"/>
      <c r="AV23" s="258">
        <f>_xlfn.FORECAST.LINEAR(A23,'CCTA Output and Adj Factors'!$B$60:$D$60,'CCTA Output and Adj Factors'!$B$3:$D$3)*'CCTA Output and Adj Factors'!$F$2</f>
        <v>406284.54887218057</v>
      </c>
      <c r="AW23" s="261">
        <f>AV23*'CCTA Output and Adj Factors'!$F$60</f>
        <v>0</v>
      </c>
      <c r="AX23" s="351">
        <f>_xlfn.FORECAST.LINEAR(A23,'CCTA Output and Adj Factors'!$C$61:$D$61,'CCTA Output and Adj Factors'!$C$3:$D$3)*'CCTA Output and Adj Factors'!$F$2</f>
        <v>362436.57</v>
      </c>
      <c r="AY23" s="261"/>
      <c r="AZ23" s="332">
        <f>_xlfn.FORECAST.LINEAR(A23,'CCTA Output and Adj Factors'!$C$62:$D$62,'CCTA Output and Adj Factors'!$C$3:$D$3)*'CCTA Output and Adj Factors'!$F$2</f>
        <v>768756.57</v>
      </c>
      <c r="BA23" s="262">
        <f>AZ23*'CCTA Output and Adj Factors'!$F$61</f>
        <v>730318.74149999989</v>
      </c>
      <c r="BB23" s="351">
        <v>11996636.071024997</v>
      </c>
      <c r="BC23" s="261">
        <v>9843469.1645499989</v>
      </c>
      <c r="BD23" s="351">
        <v>426622.90437499998</v>
      </c>
      <c r="BE23" s="261">
        <v>350052.24625000003</v>
      </c>
      <c r="BF23" s="403">
        <f>(AZ23/1000000)*'BCA Constants'!$B$243</f>
        <v>0.52054659873095999</v>
      </c>
      <c r="BG23" s="404">
        <f>(BA23/1000000)*'BCA Constants'!$B$243</f>
        <v>0.49451926879441188</v>
      </c>
      <c r="BH23" s="403">
        <f>(AZ23/1000000)*'BCA Constants'!$B$244</f>
        <v>0.24955068272712</v>
      </c>
      <c r="BI23" s="404">
        <f>(BA23/1000000)*'BCA Constants'!$B$244</f>
        <v>0.23707314859076398</v>
      </c>
      <c r="BJ23" s="422">
        <f>(AZ23/1000000)*'BCA Constants'!$B$245</f>
        <v>2.4162018995099997E-3</v>
      </c>
      <c r="BK23" s="416">
        <f>(BA23/1000000)*'BCA Constants'!$B$245</f>
        <v>2.2953918045344997E-3</v>
      </c>
      <c r="BL23" s="399">
        <f>(S23-R23)*'BCA Constants'!$B$81*'BCA Constants'!$B$9</f>
        <v>75155.883458646669</v>
      </c>
      <c r="BM23" s="261">
        <f t="shared" si="10"/>
        <v>25457.897955412664</v>
      </c>
      <c r="BN23" s="284">
        <f>(AG23-AF23)*'BCA Constants'!$B$43*'BCA Constants'!$B$9</f>
        <v>2660518.274436092</v>
      </c>
      <c r="BO23" s="261">
        <f t="shared" si="1"/>
        <v>901209.58762160817</v>
      </c>
      <c r="BP23" s="284">
        <f>(AE23-AD23)*'BCA Constants'!$B$44*'BCA Constants'!$B$9</f>
        <v>2371168.1231203019</v>
      </c>
      <c r="BQ23" s="261">
        <f t="shared" si="2"/>
        <v>803196.68049326935</v>
      </c>
      <c r="BR23" s="284">
        <f t="shared" si="17"/>
        <v>19027.362842855277</v>
      </c>
      <c r="BS23" s="261">
        <f t="shared" si="3"/>
        <v>6445.2260997045132</v>
      </c>
      <c r="BT23" s="284">
        <f t="shared" si="18"/>
        <v>2248.4508163864521</v>
      </c>
      <c r="BU23" s="261">
        <f t="shared" si="4"/>
        <v>761.62808295409695</v>
      </c>
      <c r="BV23" s="284">
        <f t="shared" si="19"/>
        <v>74974.67472509481</v>
      </c>
      <c r="BW23" s="261">
        <f t="shared" si="5"/>
        <v>25396.516287935741</v>
      </c>
      <c r="BX23" s="284">
        <f t="shared" si="20"/>
        <v>280525.04457629658</v>
      </c>
      <c r="BY23" s="261">
        <f t="shared" si="6"/>
        <v>174813.93340319689</v>
      </c>
      <c r="BZ23" s="284">
        <f>(BF23-BG23)*'BCA Constants'!$B$248+('Project Benefit Calculations'!BH23-'Project Benefit Calculations'!BI23)*'BCA Constants'!$B$249+('Project Benefit Calculations'!BJ23-'Project Benefit Calculations'!BK23)*'BCA Constants'!$B$250</f>
        <v>5446.3150606079371</v>
      </c>
      <c r="CA23" s="261">
        <f t="shared" si="0"/>
        <v>1844.855341528583</v>
      </c>
      <c r="CB23" s="284">
        <f>(AZ23-BA23)*'BCA Constants'!B$30</f>
        <v>17297.022825000029</v>
      </c>
      <c r="CC23" s="261">
        <f t="shared" si="7"/>
        <v>5859.1000697049576</v>
      </c>
      <c r="CD23" s="284">
        <f>(BB23-BC23)*'BCA Constants'!B$13*'CCTA Output and Adj Factors'!$F$50*'CCTA Output and Adj Factors'!$F$2</f>
        <v>1092301.5716547666</v>
      </c>
      <c r="CE23" s="261">
        <f t="shared" si="7"/>
        <v>370000.33354706911</v>
      </c>
      <c r="CF23" s="284">
        <f>(BB23-BC23)*'BCA Constants'!B$15*(1-'CCTA Output and Adj Factors'!$F$50)*'CCTA Output and Adj Factors'!$F$2</f>
        <v>103352.0115108</v>
      </c>
      <c r="CG23" s="261">
        <f t="shared" ref="CG23" si="25">CF23/(1.07^($A23-$A$7))</f>
        <v>35008.902050580189</v>
      </c>
    </row>
    <row r="24" spans="1:85" x14ac:dyDescent="0.25">
      <c r="A24" s="199">
        <v>2037</v>
      </c>
      <c r="B24" s="200">
        <v>11</v>
      </c>
      <c r="C24" s="301">
        <v>17</v>
      </c>
      <c r="D24" s="336">
        <f>_xlfn.FORECAST.LINEAR(A24,'CCTA Output and Adj Factors'!$B$54:$D$54,'CCTA Output and Adj Factors'!$B$3:$D$3)*'CCTA Output and Adj Factors'!$F$2</f>
        <v>127720.30075187958</v>
      </c>
      <c r="E24" s="310"/>
      <c r="F24" s="258">
        <f>_xlfn.FORECAST.LINEAR(A24,'CCTA Output and Adj Factors'!$B$50:$D$50,'CCTA Output and Adj Factors'!$B$3:$D$3)*'CCTA Output and Adj Factors'!$F$2</f>
        <v>116542.70676691733</v>
      </c>
      <c r="G24" s="295">
        <f>'CCTA Output and Adj Factors'!$F$50*F24</f>
        <v>110715.57142857145</v>
      </c>
      <c r="H24" s="332">
        <f>_xlfn.FORECAST.LINEAR(A24,'CCTA Output and Adj Factors'!$B$51:$D$51,'CCTA Output and Adj Factors'!$B$3:$D$3)*'CCTA Output and Adj Factors'!$F$2</f>
        <v>4861.8796992481311</v>
      </c>
      <c r="I24" s="261"/>
      <c r="J24" s="332">
        <f>_xlfn.FORECAST.LINEAR(A24,'CCTA Output and Adj Factors'!$B$52:$D$52,'CCTA Output and Adj Factors'!$B$3:$D$3)*'CCTA Output and Adj Factors'!$F$2</f>
        <v>638.79699248120244</v>
      </c>
      <c r="K24" s="261"/>
      <c r="L24" s="332">
        <f>_xlfn.FORECAST.LINEAR(A24,'CCTA Output and Adj Factors'!$B$53:$D$53,'CCTA Output and Adj Factors'!$B$3:$D$3)*'CCTA Output and Adj Factors'!$F$2</f>
        <v>5676.9172932330794</v>
      </c>
      <c r="M24" s="295"/>
      <c r="N24" s="332">
        <f>_xlfn.FORECAST.LINEAR(A24,'CCTA Output and Adj Factors'!$B$48:$D$48,'CCTA Output and Adj Factors'!$B$3:$D$3)*'CCTA Output and Adj Factors'!$F$2</f>
        <v>31750.676691729368</v>
      </c>
      <c r="O24" s="259"/>
      <c r="P24" s="332">
        <f>_xlfn.FORECAST.LINEAR(A24,'CCTA Output and Adj Factors'!$B$44:$D$44,'CCTA Output and Adj Factors'!$B$3:$D$3)*'CCTA Output and Adj Factors'!$F$2</f>
        <v>27416.541353383418</v>
      </c>
      <c r="Q24" s="347">
        <f>P24-+(F24-G24)*'CCTA Output and Adj Factors'!$F$45</f>
        <v>24502.973684210479</v>
      </c>
      <c r="R24" s="332">
        <f>_xlfn.FORECAST.LINEAR(A24,'CCTA Output and Adj Factors'!$B$45:$D$45,'CCTA Output and Adj Factors'!$B$3:$D$3)*'CCTA Output and Adj Factors'!$F$2</f>
        <v>4159.4736842105258</v>
      </c>
      <c r="S24" s="347">
        <f>R24+(F24-G24)*'CCTA Output and Adj Factors'!$F$45</f>
        <v>7073.0413533834644</v>
      </c>
      <c r="T24" s="332">
        <f>_xlfn.FORECAST.LINEAR(A24,'CCTA Output and Adj Factors'!$C$46:$D$46,'CCTA Output and Adj Factors'!$C$3:$D$3)*'CCTA Output and Adj Factors'!$F$2</f>
        <v>84.705882352940961</v>
      </c>
      <c r="U24" s="259"/>
      <c r="V24" s="382">
        <f>'CCTA Output and Adj Factors'!$B$47*'CCTA Output and Adj Factors'!$F$2</f>
        <v>90</v>
      </c>
      <c r="W24" s="201"/>
      <c r="X24" s="260">
        <f>_xlfn.FORECAST.LINEAR(A24,'CCTA Output and Adj Factors'!$B$5:$D$5,'CCTA Output and Adj Factors'!$B$3:$D$3)*'CCTA Output and Adj Factors'!$F$2</f>
        <v>95969.624060150381</v>
      </c>
      <c r="Y24" s="259"/>
      <c r="Z24" s="260">
        <f>_xlfn.FORECAST.LINEAR(A24,'CCTA Output and Adj Factors'!$B$38:$D$38,'CCTA Output and Adj Factors'!$B$3:$D$3)*'CCTA Output and Adj Factors'!$F$2</f>
        <v>89126.165413533745</v>
      </c>
      <c r="AA24" s="262"/>
      <c r="AB24" s="284">
        <f>_xlfn.FORECAST.LINEAR(A24,'CCTA Output and Adj Factors'!$B$39:$D$39,'CCTA Output and Adj Factors'!$B$3:$D$3)*'CCTA Output and Adj Factors'!$F$2</f>
        <v>702.40601503759854</v>
      </c>
      <c r="AC24" s="261"/>
      <c r="AD24" s="260">
        <f>_xlfn.FORECAST.LINEAR(A24,'CCTA Output and Adj Factors'!$B$40:$D$40,'CCTA Output and Adj Factors'!$B$3:$D$3)*'CCTA Output and Adj Factors'!$F$2</f>
        <v>554.13533834586497</v>
      </c>
      <c r="AE24" s="262">
        <f>AD24+(F24-G24)*'CCTA Output and Adj Factors'!$F$40</f>
        <v>2010.9191729323343</v>
      </c>
      <c r="AF24" s="258">
        <f>_xlfn.FORECAST.LINEAR(A24,'CCTA Output and Adj Factors'!$B$41:$D$41,'CCTA Output and Adj Factors'!$B$3:$D$3)*'CCTA Output and Adj Factors'!$F$2</f>
        <v>5586.9172932330794</v>
      </c>
      <c r="AG24" s="261">
        <f>AF24+(F24-G24)*'CCTA Output and Adj Factors'!$F$41</f>
        <v>7043.7011278195487</v>
      </c>
      <c r="AH24" s="258">
        <f>_xlfn.FORECAST.LINEAR(A24,'CCTA Output and Adj Factors'!$B$10:$D$10,'CCTA Output and Adj Factors'!$B$3:$D$3)</f>
        <v>172985.21303258184</v>
      </c>
      <c r="AI24" s="259"/>
      <c r="AJ24" s="258">
        <f>_xlfn.FORECAST.LINEAR(A24,'CCTA Output and Adj Factors'!$B$11:$D$11,'CCTA Output and Adj Factors'!$B$3:$D$3)</f>
        <v>228841.10275689233</v>
      </c>
      <c r="AK24" s="259"/>
      <c r="AL24" s="258">
        <f>_xlfn.FORECAST.LINEAR(A24,'CCTA Output and Adj Factors'!$B$12:$D$12,'CCTA Output and Adj Factors'!$B$3:$D$3)</f>
        <v>551917.29323308263</v>
      </c>
      <c r="AM24" s="259"/>
      <c r="AN24" s="258">
        <f>_xlfn.FORECAST.LINEAR(A24,'CCTA Output and Adj Factors'!$B$13:$D$13,'CCTA Output and Adj Factors'!$B$3:$D$3)</f>
        <v>1125586.4661654159</v>
      </c>
      <c r="AO24" s="259"/>
      <c r="AP24" s="258">
        <f>_xlfn.FORECAST.LINEAR(A24,'CCTA Output and Adj Factors'!$B$14:$D$14,'CCTA Output and Adj Factors'!$B$3:$D$3)</f>
        <v>721531.82957393676</v>
      </c>
      <c r="AQ24" s="259"/>
      <c r="AR24" s="258">
        <f>_xlfn.FORECAST.LINEAR(A24,'CCTA Output and Adj Factors'!$B$15:$D$15,'CCTA Output and Adj Factors'!$B$3:$D$3)</f>
        <v>293995.73934837058</v>
      </c>
      <c r="AS24" s="259"/>
      <c r="AT24" s="258">
        <f>_xlfn.FORECAST.LINEAR(A24,'CCTA Output and Adj Factors'!$B$16:$D$16,'CCTA Output and Adj Factors'!$B$3:$D$3)</f>
        <v>104129.82456140383</v>
      </c>
      <c r="AU24" s="259"/>
      <c r="AV24" s="258">
        <f>_xlfn.FORECAST.LINEAR(A24,'CCTA Output and Adj Factors'!$B$60:$D$60,'CCTA Output and Adj Factors'!$B$3:$D$3)*'CCTA Output and Adj Factors'!$F$2</f>
        <v>409806.16541353404</v>
      </c>
      <c r="AW24" s="261">
        <f>AV24*'CCTA Output and Adj Factors'!$F$60</f>
        <v>0</v>
      </c>
      <c r="AX24" s="351">
        <f>_xlfn.FORECAST.LINEAR(A24,'CCTA Output and Adj Factors'!$C$61:$D$61,'CCTA Output and Adj Factors'!$C$3:$D$3)*'CCTA Output and Adj Factors'!$F$2</f>
        <v>364972.17</v>
      </c>
      <c r="AY24" s="261"/>
      <c r="AZ24" s="332">
        <f>_xlfn.FORECAST.LINEAR(A24,'CCTA Output and Adj Factors'!$C$62:$D$62,'CCTA Output and Adj Factors'!$C$3:$D$3)*'CCTA Output and Adj Factors'!$F$2</f>
        <v>774772.16999999993</v>
      </c>
      <c r="BA24" s="262">
        <f>AZ24*'CCTA Output and Adj Factors'!$F$61</f>
        <v>736033.56149999995</v>
      </c>
      <c r="BB24" s="351">
        <v>12339450.839949999</v>
      </c>
      <c r="BC24" s="261">
        <v>10172508.630900001</v>
      </c>
      <c r="BD24" s="351">
        <v>438814.04125000001</v>
      </c>
      <c r="BE24" s="261">
        <v>361753.50750000007</v>
      </c>
      <c r="BF24" s="403">
        <f>(AZ24/1000000)*'BCA Constants'!$B$243</f>
        <v>0.52461992992775985</v>
      </c>
      <c r="BG24" s="404">
        <f>(BA24/1000000)*'BCA Constants'!$B$243</f>
        <v>0.49838893343137197</v>
      </c>
      <c r="BH24" s="403">
        <f>(AZ24/1000000)*'BCA Constants'!$B$244</f>
        <v>0.25150344273671998</v>
      </c>
      <c r="BI24" s="404">
        <f>(BA24/1000000)*'BCA Constants'!$B$244</f>
        <v>0.238928270599884</v>
      </c>
      <c r="BJ24" s="422">
        <f>(AZ24/1000000)*'BCA Constants'!$B$245</f>
        <v>2.4351089303099997E-3</v>
      </c>
      <c r="BK24" s="416">
        <f>(BA24/1000000)*'BCA Constants'!$B$245</f>
        <v>2.3133534837944999E-3</v>
      </c>
      <c r="BL24" s="399">
        <f>(S24-R24)*'BCA Constants'!$B$81*'BCA Constants'!$B$9</f>
        <v>75752.759398496419</v>
      </c>
      <c r="BM24" s="261">
        <f t="shared" si="10"/>
        <v>23981.383632553396</v>
      </c>
      <c r="BN24" s="284">
        <f>(AG24-AF24)*'BCA Constants'!$B$43*'BCA Constants'!$B$9</f>
        <v>2681647.6827067723</v>
      </c>
      <c r="BO24" s="261">
        <f t="shared" si="1"/>
        <v>848940.98059238994</v>
      </c>
      <c r="BP24" s="284">
        <f>(AE24-AD24)*'BCA Constants'!$B$44*'BCA Constants'!$B$9</f>
        <v>2389999.5590225612</v>
      </c>
      <c r="BQ24" s="261">
        <f t="shared" si="2"/>
        <v>756612.65360705939</v>
      </c>
      <c r="BR24" s="284">
        <f t="shared" si="17"/>
        <v>19425.583920356235</v>
      </c>
      <c r="BS24" s="261">
        <f t="shared" si="3"/>
        <v>6149.6423889961943</v>
      </c>
      <c r="BT24" s="284">
        <f t="shared" si="18"/>
        <v>2296.4331687979429</v>
      </c>
      <c r="BU24" s="261">
        <f t="shared" si="4"/>
        <v>726.99193065377381</v>
      </c>
      <c r="BV24" s="284">
        <f t="shared" si="19"/>
        <v>76465.809043259826</v>
      </c>
      <c r="BW24" s="261">
        <f t="shared" si="5"/>
        <v>24207.11688921502</v>
      </c>
      <c r="BX24" s="284">
        <f t="shared" si="20"/>
        <v>286870.12575477734</v>
      </c>
      <c r="BY24" s="261">
        <f t="shared" si="6"/>
        <v>173561.14390319795</v>
      </c>
      <c r="BZ24" s="284">
        <f>(BF24-BG24)*'BCA Constants'!$B$248+('Project Benefit Calculations'!BH24-'Project Benefit Calculations'!BI24)*'BCA Constants'!$B$249+('Project Benefit Calculations'!BJ24-'Project Benefit Calculations'!BK24)*'BCA Constants'!$B$250</f>
        <v>5488.9330415880295</v>
      </c>
      <c r="CA24" s="261">
        <f t="shared" si="0"/>
        <v>1737.6556319390447</v>
      </c>
      <c r="CB24" s="284">
        <f>(AZ24-BA24)*'BCA Constants'!B$30</f>
        <v>17432.373824999988</v>
      </c>
      <c r="CC24" s="261">
        <f t="shared" si="7"/>
        <v>5518.64311799188</v>
      </c>
      <c r="CD24" s="284">
        <f>(BB24-BC24)*'BCA Constants'!B$13*'CCTA Output and Adj Factors'!$F$50*'CCTA Output and Adj Factors'!$F$2</f>
        <v>1099289.7826510638</v>
      </c>
      <c r="CE24" s="261">
        <f t="shared" si="7"/>
        <v>348006.99288618466</v>
      </c>
      <c r="CF24" s="284">
        <f>(BB24-BC24)*'BCA Constants'!B$15*(1-'CCTA Output and Adj Factors'!$F$50)*'CCTA Output and Adj Factors'!$F$2</f>
        <v>104013.22603439998</v>
      </c>
      <c r="CG24" s="261">
        <f t="shared" ref="CG24" si="26">CF24/(1.07^($A24-$A$7))</f>
        <v>32927.923632045888</v>
      </c>
    </row>
    <row r="25" spans="1:85" x14ac:dyDescent="0.25">
      <c r="A25" s="204">
        <v>2038</v>
      </c>
      <c r="B25" s="200">
        <v>12</v>
      </c>
      <c r="C25" s="301">
        <v>18</v>
      </c>
      <c r="D25" s="336">
        <f>_xlfn.FORECAST.LINEAR(A25,'CCTA Output and Adj Factors'!$B$54:$D$54,'CCTA Output and Adj Factors'!$B$3:$D$3)*'CCTA Output and Adj Factors'!$F$2</f>
        <v>128742.33082706742</v>
      </c>
      <c r="E25" s="310"/>
      <c r="F25" s="258">
        <f>_xlfn.FORECAST.LINEAR(A25,'CCTA Output and Adj Factors'!$B$50:$D$50,'CCTA Output and Adj Factors'!$B$3:$D$3)*'CCTA Output and Adj Factors'!$F$2</f>
        <v>117460.97744360915</v>
      </c>
      <c r="G25" s="295">
        <f>'CCTA Output and Adj Factors'!$F$50*F25</f>
        <v>111587.9285714287</v>
      </c>
      <c r="H25" s="332">
        <f>_xlfn.FORECAST.LINEAR(A25,'CCTA Output and Adj Factors'!$B$51:$D$51,'CCTA Output and Adj Factors'!$B$3:$D$3)*'CCTA Output and Adj Factors'!$F$2</f>
        <v>4912.0676691729341</v>
      </c>
      <c r="I25" s="261"/>
      <c r="J25" s="332">
        <f>_xlfn.FORECAST.LINEAR(A25,'CCTA Output and Adj Factors'!$B$52:$D$52,'CCTA Output and Adj Factors'!$B$3:$D$3)*'CCTA Output and Adj Factors'!$F$2</f>
        <v>645.67669172932392</v>
      </c>
      <c r="K25" s="261"/>
      <c r="L25" s="332">
        <f>_xlfn.FORECAST.LINEAR(A25,'CCTA Output and Adj Factors'!$B$53:$D$53,'CCTA Output and Adj Factors'!$B$3:$D$3)*'CCTA Output and Adj Factors'!$F$2</f>
        <v>5723.6090225563894</v>
      </c>
      <c r="M25" s="295"/>
      <c r="N25" s="332">
        <f>_xlfn.FORECAST.LINEAR(A25,'CCTA Output and Adj Factors'!$B$48:$D$48,'CCTA Output and Adj Factors'!$B$3:$D$3)*'CCTA Output and Adj Factors'!$F$2</f>
        <v>31942.744360902328</v>
      </c>
      <c r="O25" s="259"/>
      <c r="P25" s="332">
        <f>_xlfn.FORECAST.LINEAR(A25,'CCTA Output and Adj Factors'!$B$44:$D$44,'CCTA Output and Adj Factors'!$B$3:$D$3)*'CCTA Output and Adj Factors'!$F$2</f>
        <v>27573.195488721783</v>
      </c>
      <c r="Q25" s="347">
        <f>P25-+(F25-G25)*'CCTA Output and Adj Factors'!$F$45</f>
        <v>24636.671052631555</v>
      </c>
      <c r="R25" s="332">
        <f>_xlfn.FORECAST.LINEAR(A25,'CCTA Output and Adj Factors'!$B$45:$D$45,'CCTA Output and Adj Factors'!$B$3:$D$3)*'CCTA Output and Adj Factors'!$F$2</f>
        <v>4193.4210526315819</v>
      </c>
      <c r="S25" s="347">
        <f>R25+(F25-G25)*'CCTA Output and Adj Factors'!$F$45</f>
        <v>7129.9454887218108</v>
      </c>
      <c r="T25" s="332">
        <f>_xlfn.FORECAST.LINEAR(A25,'CCTA Output and Adj Factors'!$C$46:$D$46,'CCTA Output and Adj Factors'!$C$3:$D$3)*'CCTA Output and Adj Factors'!$F$2</f>
        <v>86.470588235293832</v>
      </c>
      <c r="U25" s="259"/>
      <c r="V25" s="382">
        <f>'CCTA Output and Adj Factors'!$B$47*'CCTA Output and Adj Factors'!$F$2</f>
        <v>90</v>
      </c>
      <c r="W25" s="201"/>
      <c r="X25" s="260">
        <f>_xlfn.FORECAST.LINEAR(A25,'CCTA Output and Adj Factors'!$B$5:$D$5,'CCTA Output and Adj Factors'!$B$3:$D$3)*'CCTA Output and Adj Factors'!$F$2</f>
        <v>96799.586466165478</v>
      </c>
      <c r="Y25" s="259"/>
      <c r="Z25" s="260">
        <f>_xlfn.FORECAST.LINEAR(A25,'CCTA Output and Adj Factors'!$B$38:$D$38,'CCTA Output and Adj Factors'!$B$3:$D$3)*'CCTA Output and Adj Factors'!$F$2</f>
        <v>89887.781954887207</v>
      </c>
      <c r="AA25" s="262"/>
      <c r="AB25" s="284">
        <f>_xlfn.FORECAST.LINEAR(A25,'CCTA Output and Adj Factors'!$B$39:$D$39,'CCTA Output and Adj Factors'!$B$3:$D$3)*'CCTA Output and Adj Factors'!$F$2</f>
        <v>718.64661654135909</v>
      </c>
      <c r="AC25" s="261"/>
      <c r="AD25" s="260">
        <f>_xlfn.FORECAST.LINEAR(A25,'CCTA Output and Adj Factors'!$B$40:$D$40,'CCTA Output and Adj Factors'!$B$3:$D$3)*'CCTA Output and Adj Factors'!$F$2</f>
        <v>559.54887218045121</v>
      </c>
      <c r="AE25" s="262">
        <f>AD25+(F25-G25)*'CCTA Output and Adj Factors'!$F$40</f>
        <v>2027.8110902255657</v>
      </c>
      <c r="AF25" s="258">
        <f>_xlfn.FORECAST.LINEAR(A25,'CCTA Output and Adj Factors'!$B$41:$D$41,'CCTA Output and Adj Factors'!$B$3:$D$3)*'CCTA Output and Adj Factors'!$F$2</f>
        <v>5633.6090225563894</v>
      </c>
      <c r="AG25" s="261">
        <f>AF25+(F25-G25)*'CCTA Output and Adj Factors'!$F$41</f>
        <v>7101.8712406015038</v>
      </c>
      <c r="AH25" s="258">
        <f>_xlfn.FORECAST.LINEAR(A25,'CCTA Output and Adj Factors'!$B$10:$D$10,'CCTA Output and Adj Factors'!$B$3:$D$3)</f>
        <v>174260.40100250673</v>
      </c>
      <c r="AI25" s="259"/>
      <c r="AJ25" s="258">
        <f>_xlfn.FORECAST.LINEAR(A25,'CCTA Output and Adj Factors'!$B$11:$D$11,'CCTA Output and Adj Factors'!$B$3:$D$3)</f>
        <v>230518.54636591487</v>
      </c>
      <c r="AK25" s="259"/>
      <c r="AL25" s="258">
        <f>_xlfn.FORECAST.LINEAR(A25,'CCTA Output and Adj Factors'!$B$12:$D$12,'CCTA Output and Adj Factors'!$B$3:$D$3)</f>
        <v>555659.02255639061</v>
      </c>
      <c r="AM25" s="259"/>
      <c r="AN25" s="258">
        <f>_xlfn.FORECAST.LINEAR(A25,'CCTA Output and Adj Factors'!$B$13:$D$13,'CCTA Output and Adj Factors'!$B$3:$D$3)</f>
        <v>1135295.1127819568</v>
      </c>
      <c r="AO25" s="259"/>
      <c r="AP25" s="258">
        <f>_xlfn.FORECAST.LINEAR(A25,'CCTA Output and Adj Factors'!$B$14:$D$14,'CCTA Output and Adj Factors'!$B$3:$D$3)</f>
        <v>729071.67919799685</v>
      </c>
      <c r="AQ25" s="259"/>
      <c r="AR25" s="258">
        <f>_xlfn.FORECAST.LINEAR(A25,'CCTA Output and Adj Factors'!$B$15:$D$15,'CCTA Output and Adj Factors'!$B$3:$D$3)</f>
        <v>296641.9799498748</v>
      </c>
      <c r="AS25" s="259"/>
      <c r="AT25" s="258">
        <f>_xlfn.FORECAST.LINEAR(A25,'CCTA Output and Adj Factors'!$B$16:$D$16,'CCTA Output and Adj Factors'!$B$3:$D$3)</f>
        <v>105206.14035087754</v>
      </c>
      <c r="AU25" s="259"/>
      <c r="AV25" s="258">
        <f>_xlfn.FORECAST.LINEAR(A25,'CCTA Output and Adj Factors'!$B$60:$D$60,'CCTA Output and Adj Factors'!$B$3:$D$3)*'CCTA Output and Adj Factors'!$F$2</f>
        <v>413327.7819548875</v>
      </c>
      <c r="AW25" s="261">
        <f>AV25*'CCTA Output and Adj Factors'!$F$60</f>
        <v>0</v>
      </c>
      <c r="AX25" s="351">
        <f>_xlfn.FORECAST.LINEAR(A25,'CCTA Output and Adj Factors'!$C$61:$D$61,'CCTA Output and Adj Factors'!$C$3:$D$3)*'CCTA Output and Adj Factors'!$F$2</f>
        <v>367507.76999999996</v>
      </c>
      <c r="AY25" s="261"/>
      <c r="AZ25" s="332">
        <f>_xlfn.FORECAST.LINEAR(A25,'CCTA Output and Adj Factors'!$C$62:$D$62,'CCTA Output and Adj Factors'!$C$3:$D$3)*'CCTA Output and Adj Factors'!$F$2</f>
        <v>780787.77</v>
      </c>
      <c r="BA25" s="262">
        <f>AZ25*'CCTA Output and Adj Factors'!$F$61</f>
        <v>741748.38150000002</v>
      </c>
      <c r="BB25" s="351">
        <v>12682265.608874999</v>
      </c>
      <c r="BC25" s="261">
        <v>10501548.09725</v>
      </c>
      <c r="BD25" s="351">
        <v>451005.17812499998</v>
      </c>
      <c r="BE25" s="261">
        <v>373454.76875000005</v>
      </c>
      <c r="BF25" s="403">
        <f>(AZ25/1000000)*'BCA Constants'!$B$243</f>
        <v>0.52869326112455994</v>
      </c>
      <c r="BG25" s="404">
        <f>(BA25/1000000)*'BCA Constants'!$B$243</f>
        <v>0.50225859806833195</v>
      </c>
      <c r="BH25" s="403">
        <f>(AZ25/1000000)*'BCA Constants'!$B$244</f>
        <v>0.25345620274632003</v>
      </c>
      <c r="BI25" s="404">
        <f>(BA25/1000000)*'BCA Constants'!$B$244</f>
        <v>0.240783392609004</v>
      </c>
      <c r="BJ25" s="422">
        <f>(AZ25/1000000)*'BCA Constants'!$B$245</f>
        <v>2.4540159611100001E-3</v>
      </c>
      <c r="BK25" s="416">
        <f>(BA25/1000000)*'BCA Constants'!$B$245</f>
        <v>2.3313151630545001E-3</v>
      </c>
      <c r="BL25" s="399">
        <f>(S25-R25)*'BCA Constants'!$B$81*'BCA Constants'!$B$9</f>
        <v>76349.63533834595</v>
      </c>
      <c r="BM25" s="261">
        <f t="shared" si="10"/>
        <v>22589.102120928928</v>
      </c>
      <c r="BN25" s="284">
        <f>(AG25-AF25)*'BCA Constants'!$B$43*'BCA Constants'!$B$9</f>
        <v>2702777.0909774466</v>
      </c>
      <c r="BO25" s="261">
        <f t="shared" si="1"/>
        <v>799654.21508088405</v>
      </c>
      <c r="BP25" s="284">
        <f>(AE25-AD25)*'BCA Constants'!$B$44*'BCA Constants'!$B$9</f>
        <v>2408830.9949248144</v>
      </c>
      <c r="BQ25" s="261">
        <f t="shared" si="2"/>
        <v>712686.17191530764</v>
      </c>
      <c r="BR25" s="284">
        <f t="shared" si="17"/>
        <v>19823.804997857311</v>
      </c>
      <c r="BS25" s="261">
        <f t="shared" si="3"/>
        <v>5865.1485830617366</v>
      </c>
      <c r="BT25" s="284">
        <f t="shared" si="18"/>
        <v>2344.4155212094483</v>
      </c>
      <c r="BU25" s="261">
        <f t="shared" si="4"/>
        <v>693.62795759016842</v>
      </c>
      <c r="BV25" s="284">
        <f t="shared" si="19"/>
        <v>77956.943361424841</v>
      </c>
      <c r="BW25" s="261">
        <f t="shared" si="5"/>
        <v>23064.646567372176</v>
      </c>
      <c r="BX25" s="284">
        <f t="shared" si="20"/>
        <v>293215.20693325624</v>
      </c>
      <c r="BY25" s="261">
        <f t="shared" si="6"/>
        <v>172233.03142368721</v>
      </c>
      <c r="BZ25" s="284">
        <f>(BF25-BG25)*'BCA Constants'!$B$248+('Project Benefit Calculations'!BH25-'Project Benefit Calculations'!BI25)*'BCA Constants'!$B$249+('Project Benefit Calculations'!BJ25-'Project Benefit Calculations'!BK25)*'BCA Constants'!$B$250</f>
        <v>5531.5510225681546</v>
      </c>
      <c r="CA25" s="261">
        <f t="shared" si="0"/>
        <v>1636.5863488697557</v>
      </c>
      <c r="CB25" s="284">
        <f>(AZ25-BA25)*'BCA Constants'!B$30</f>
        <v>17567.724825000001</v>
      </c>
      <c r="CC25" s="261">
        <f t="shared" si="7"/>
        <v>5197.6558675846645</v>
      </c>
      <c r="CD25" s="284">
        <f>(BB25-BC25)*'BCA Constants'!B$13*'CCTA Output and Adj Factors'!$F$50*'CCTA Output and Adj Factors'!$F$2</f>
        <v>1106277.9936473621</v>
      </c>
      <c r="CE25" s="261">
        <f t="shared" si="7"/>
        <v>327307.73974090879</v>
      </c>
      <c r="CF25" s="284">
        <f>(BB25-BC25)*'BCA Constants'!B$15*(1-'CCTA Output and Adj Factors'!$F$50)*'CCTA Output and Adj Factors'!$F$2</f>
        <v>104674.44055800006</v>
      </c>
      <c r="CG25" s="261">
        <f t="shared" ref="CG25" si="27">CF25/(1.07^($A25-$A$7))</f>
        <v>30969.389922262242</v>
      </c>
    </row>
    <row r="26" spans="1:85" ht="15.75" thickBot="1" x14ac:dyDescent="0.3">
      <c r="A26" s="199">
        <v>2039</v>
      </c>
      <c r="B26" s="200">
        <v>13</v>
      </c>
      <c r="C26" s="301">
        <v>19</v>
      </c>
      <c r="D26" s="336">
        <f>_xlfn.FORECAST.LINEAR(A26,'CCTA Output and Adj Factors'!$B$54:$D$54,'CCTA Output and Adj Factors'!$B$3:$D$3)*'CCTA Output and Adj Factors'!$F$2</f>
        <v>129764.36090225524</v>
      </c>
      <c r="E26" s="310"/>
      <c r="F26" s="258">
        <f>_xlfn.FORECAST.LINEAR(A26,'CCTA Output and Adj Factors'!$B$50:$D$50,'CCTA Output and Adj Factors'!$B$3:$D$3)*'CCTA Output and Adj Factors'!$F$2</f>
        <v>118379.24812030076</v>
      </c>
      <c r="G26" s="295">
        <f>'CCTA Output and Adj Factors'!$F$50*F26</f>
        <v>112460.28571428572</v>
      </c>
      <c r="H26" s="332">
        <f>_xlfn.FORECAST.LINEAR(A26,'CCTA Output and Adj Factors'!$B$51:$D$51,'CCTA Output and Adj Factors'!$B$3:$D$3)*'CCTA Output and Adj Factors'!$F$2</f>
        <v>4962.2556390977506</v>
      </c>
      <c r="I26" s="261"/>
      <c r="J26" s="332">
        <f>_xlfn.FORECAST.LINEAR(A26,'CCTA Output and Adj Factors'!$B$52:$D$52,'CCTA Output and Adj Factors'!$B$3:$D$3)*'CCTA Output and Adj Factors'!$F$2</f>
        <v>652.55639097744358</v>
      </c>
      <c r="K26" s="261"/>
      <c r="L26" s="332">
        <f>_xlfn.FORECAST.LINEAR(A26,'CCTA Output and Adj Factors'!$B$53:$D$53,'CCTA Output and Adj Factors'!$B$3:$D$3)*'CCTA Output and Adj Factors'!$F$2</f>
        <v>5770.3007518796994</v>
      </c>
      <c r="M26" s="295"/>
      <c r="N26" s="332">
        <f>_xlfn.FORECAST.LINEAR(A26,'CCTA Output and Adj Factors'!$B$48:$D$48,'CCTA Output and Adj Factors'!$B$3:$D$3)*'CCTA Output and Adj Factors'!$F$2</f>
        <v>32134.812030075227</v>
      </c>
      <c r="O26" s="259"/>
      <c r="P26" s="332">
        <f>_xlfn.FORECAST.LINEAR(A26,'CCTA Output and Adj Factors'!$B$44:$D$44,'CCTA Output and Adj Factors'!$B$3:$D$3)*'CCTA Output and Adj Factors'!$F$2</f>
        <v>27729.849624060094</v>
      </c>
      <c r="Q26" s="347">
        <f>P26-+(F26-G26)*'CCTA Output and Adj Factors'!$F$45</f>
        <v>24770.368421052575</v>
      </c>
      <c r="R26" s="332">
        <f>_xlfn.FORECAST.LINEAR(A26,'CCTA Output and Adj Factors'!$B$45:$D$45,'CCTA Output and Adj Factors'!$B$3:$D$3)*'CCTA Output and Adj Factors'!$F$2</f>
        <v>4227.3684210526244</v>
      </c>
      <c r="S26" s="347">
        <f>R26+(F26-G26)*'CCTA Output and Adj Factors'!$F$45</f>
        <v>7186.8496240601435</v>
      </c>
      <c r="T26" s="332">
        <f>_xlfn.FORECAST.LINEAR(A26,'CCTA Output and Adj Factors'!$C$46:$D$46,'CCTA Output and Adj Factors'!$C$3:$D$3)*'CCTA Output and Adj Factors'!$F$2</f>
        <v>88.235294117646703</v>
      </c>
      <c r="U26" s="259"/>
      <c r="V26" s="382">
        <f>'CCTA Output and Adj Factors'!$B$47*'CCTA Output and Adj Factors'!$F$2</f>
        <v>90</v>
      </c>
      <c r="W26" s="201"/>
      <c r="X26" s="260">
        <f>_xlfn.FORECAST.LINEAR(A26,'CCTA Output and Adj Factors'!$B$5:$D$5,'CCTA Output and Adj Factors'!$B$3:$D$3)*'CCTA Output and Adj Factors'!$F$2</f>
        <v>97629.548872180356</v>
      </c>
      <c r="Y26" s="259"/>
      <c r="Z26" s="260">
        <f>_xlfn.FORECAST.LINEAR(A26,'CCTA Output and Adj Factors'!$B$38:$D$38,'CCTA Output and Adj Factors'!$B$3:$D$3)*'CCTA Output and Adj Factors'!$F$2</f>
        <v>90649.39849624045</v>
      </c>
      <c r="AA26" s="262"/>
      <c r="AB26" s="284">
        <f>_xlfn.FORECAST.LINEAR(A26,'CCTA Output and Adj Factors'!$B$39:$D$39,'CCTA Output and Adj Factors'!$B$3:$D$3)*'CCTA Output and Adj Factors'!$F$2</f>
        <v>734.8872180451126</v>
      </c>
      <c r="AC26" s="261"/>
      <c r="AD26" s="260">
        <f>_xlfn.FORECAST.LINEAR(A26,'CCTA Output and Adj Factors'!$B$40:$D$40,'CCTA Output and Adj Factors'!$B$3:$D$3)*'CCTA Output and Adj Factors'!$F$2</f>
        <v>564.96240601503757</v>
      </c>
      <c r="AE26" s="262">
        <f>AD26+(F26-G26)*'CCTA Output and Adj Factors'!$F$40</f>
        <v>2044.7030075187972</v>
      </c>
      <c r="AF26" s="258">
        <f>_xlfn.FORECAST.LINEAR(A26,'CCTA Output and Adj Factors'!$B$41:$D$41,'CCTA Output and Adj Factors'!$B$3:$D$3)*'CCTA Output and Adj Factors'!$F$2</f>
        <v>5680.3007518796994</v>
      </c>
      <c r="AG26" s="261">
        <f>AF26+(F26-G26)*'CCTA Output and Adj Factors'!$F$41</f>
        <v>7160.041353383459</v>
      </c>
      <c r="AH26" s="258">
        <f>_xlfn.FORECAST.LINEAR(A26,'CCTA Output and Adj Factors'!$B$10:$D$10,'CCTA Output and Adj Factors'!$B$3:$D$3)</f>
        <v>175535.58897243114</v>
      </c>
      <c r="AI26" s="259"/>
      <c r="AJ26" s="258">
        <f>_xlfn.FORECAST.LINEAR(A26,'CCTA Output and Adj Factors'!$B$11:$D$11,'CCTA Output and Adj Factors'!$B$3:$D$3)</f>
        <v>232195.9899749374</v>
      </c>
      <c r="AK26" s="259"/>
      <c r="AL26" s="258">
        <f>_xlfn.FORECAST.LINEAR(A26,'CCTA Output and Adj Factors'!$B$12:$D$12,'CCTA Output and Adj Factors'!$B$3:$D$3)</f>
        <v>559400.7518796986</v>
      </c>
      <c r="AM26" s="259"/>
      <c r="AN26" s="258">
        <f>_xlfn.FORECAST.LINEAR(A26,'CCTA Output and Adj Factors'!$B$13:$D$13,'CCTA Output and Adj Factors'!$B$3:$D$3)</f>
        <v>1145003.7593984976</v>
      </c>
      <c r="AO26" s="259"/>
      <c r="AP26" s="258">
        <f>_xlfn.FORECAST.LINEAR(A26,'CCTA Output and Adj Factors'!$B$14:$D$14,'CCTA Output and Adj Factors'!$B$3:$D$3)</f>
        <v>736611.52882205695</v>
      </c>
      <c r="AQ26" s="259"/>
      <c r="AR26" s="258">
        <f>_xlfn.FORECAST.LINEAR(A26,'CCTA Output and Adj Factors'!$B$15:$D$15,'CCTA Output and Adj Factors'!$B$3:$D$3)</f>
        <v>299288.22055137809</v>
      </c>
      <c r="AS26" s="259"/>
      <c r="AT26" s="258">
        <f>_xlfn.FORECAST.LINEAR(A26,'CCTA Output and Adj Factors'!$B$16:$D$16,'CCTA Output and Adj Factors'!$B$3:$D$3)</f>
        <v>106282.45614035078</v>
      </c>
      <c r="AU26" s="259"/>
      <c r="AV26" s="258">
        <f>_xlfn.FORECAST.LINEAR(A26,'CCTA Output and Adj Factors'!$B$60:$D$60,'CCTA Output and Adj Factors'!$B$3:$D$3)*'CCTA Output and Adj Factors'!$F$2</f>
        <v>416849.39849624096</v>
      </c>
      <c r="AW26" s="261">
        <f>AV26*'CCTA Output and Adj Factors'!$F$60</f>
        <v>0</v>
      </c>
      <c r="AX26" s="351">
        <f>_xlfn.FORECAST.LINEAR(A26,'CCTA Output and Adj Factors'!$C$61:$D$61,'CCTA Output and Adj Factors'!$C$3:$D$3)*'CCTA Output and Adj Factors'!$F$2</f>
        <v>370043.37</v>
      </c>
      <c r="AY26" s="261"/>
      <c r="AZ26" s="332">
        <f>_xlfn.FORECAST.LINEAR(A26,'CCTA Output and Adj Factors'!$C$62:$D$62,'CCTA Output and Adj Factors'!$C$3:$D$3)*'CCTA Output and Adj Factors'!$F$2</f>
        <v>786803.37</v>
      </c>
      <c r="BA26" s="262">
        <f>AZ26*'CCTA Output and Adj Factors'!$F$61</f>
        <v>747463.20149999997</v>
      </c>
      <c r="BB26" s="351">
        <v>13025080.377800001</v>
      </c>
      <c r="BC26" s="261">
        <v>10830587.5636</v>
      </c>
      <c r="BD26" s="351">
        <v>463196.31500000006</v>
      </c>
      <c r="BE26" s="261">
        <v>385156.02999999997</v>
      </c>
      <c r="BF26" s="403">
        <f>(AZ26/1000000)*'BCA Constants'!$B$243</f>
        <v>0.53276659232135992</v>
      </c>
      <c r="BG26" s="404">
        <f>(BA26/1000000)*'BCA Constants'!$B$243</f>
        <v>0.50612826270529199</v>
      </c>
      <c r="BH26" s="403">
        <f>(AZ26/1000000)*'BCA Constants'!$B$244</f>
        <v>0.25540896275592001</v>
      </c>
      <c r="BI26" s="404">
        <f>(BA26/1000000)*'BCA Constants'!$B$244</f>
        <v>0.24263851461812402</v>
      </c>
      <c r="BJ26" s="422">
        <f>(AZ26/1000000)*'BCA Constants'!$B$245</f>
        <v>2.4729229919100001E-3</v>
      </c>
      <c r="BK26" s="416">
        <f>(BA26/1000000)*'BCA Constants'!$B$245</f>
        <v>2.3492768423144998E-3</v>
      </c>
      <c r="BL26" s="399">
        <f>(S26-R26)*'BCA Constants'!$B$81*'BCA Constants'!$B$9</f>
        <v>76946.511278195496</v>
      </c>
      <c r="BM26" s="261">
        <f t="shared" si="10"/>
        <v>21276.351564533597</v>
      </c>
      <c r="BN26" s="284">
        <f>(AG26-AF26)*'BCA Constants'!$B$43*'BCA Constants'!$B$9</f>
        <v>2723906.4992481205</v>
      </c>
      <c r="BO26" s="261">
        <f t="shared" si="1"/>
        <v>753182.84538448928</v>
      </c>
      <c r="BP26" s="284">
        <f>(AE26-AD26)*'BCA Constants'!$B$44*'BCA Constants'!$B$9</f>
        <v>2427662.4308270677</v>
      </c>
      <c r="BQ26" s="261">
        <f t="shared" si="2"/>
        <v>671268.89186103491</v>
      </c>
      <c r="BR26" s="284">
        <f t="shared" si="17"/>
        <v>20222.02607535827</v>
      </c>
      <c r="BS26" s="261">
        <f t="shared" si="3"/>
        <v>5591.5587201990438</v>
      </c>
      <c r="BT26" s="284">
        <f t="shared" si="18"/>
        <v>2392.3978736209392</v>
      </c>
      <c r="BU26" s="261">
        <f t="shared" si="4"/>
        <v>661.51794793360295</v>
      </c>
      <c r="BV26" s="284">
        <f t="shared" si="19"/>
        <v>79448.077679590322</v>
      </c>
      <c r="BW26" s="261">
        <f t="shared" si="5"/>
        <v>21968.055520099206</v>
      </c>
      <c r="BX26" s="284">
        <f t="shared" si="20"/>
        <v>299560.288111737</v>
      </c>
      <c r="BY26" s="261">
        <f t="shared" si="6"/>
        <v>170835.04649787804</v>
      </c>
      <c r="BZ26" s="284">
        <f>(BF26-BG26)*'BCA Constants'!$B$248+('Project Benefit Calculations'!BH26-'Project Benefit Calculations'!BI26)*'BCA Constants'!$B$249+('Project Benefit Calculations'!BJ26-'Project Benefit Calculations'!BK26)*'BCA Constants'!$B$250</f>
        <v>5574.1690035482543</v>
      </c>
      <c r="CA26" s="261">
        <f t="shared" si="0"/>
        <v>1541.3041790918201</v>
      </c>
      <c r="CB26" s="284">
        <f>(AZ26-BA26)*'BCA Constants'!B$30</f>
        <v>17703.075825000014</v>
      </c>
      <c r="CC26" s="261">
        <f t="shared" si="7"/>
        <v>4895.047985535246</v>
      </c>
      <c r="CD26" s="284">
        <f>(BB26-BC26)*'BCA Constants'!B$13*'CCTA Output and Adj Factors'!$F$50*'CCTA Output and Adj Factors'!$F$2</f>
        <v>1113266.2046436605</v>
      </c>
      <c r="CE26" s="261">
        <f t="shared" si="7"/>
        <v>307827.38244332263</v>
      </c>
      <c r="CF26" s="284">
        <f>(BB26-BC26)*'BCA Constants'!B$15*(1-'CCTA Output and Adj Factors'!$F$50)*'CCTA Output and Adj Factors'!$F$2</f>
        <v>105335.65508160013</v>
      </c>
      <c r="CG26" s="261">
        <f t="shared" ref="CG26" si="28">CF26/(1.07^($A26-$A$7))</f>
        <v>29126.186393218013</v>
      </c>
    </row>
    <row r="27" spans="1:85" ht="15.75" customHeight="1" thickBot="1" x14ac:dyDescent="0.3">
      <c r="A27" s="263">
        <v>2040</v>
      </c>
      <c r="B27" s="292">
        <v>14</v>
      </c>
      <c r="C27" s="304">
        <v>20</v>
      </c>
      <c r="D27" s="356">
        <f>'CCTA Output and Adj Factors'!D54*'CCTA Output and Adj Factors'!$F$2</f>
        <v>130830</v>
      </c>
      <c r="E27" s="320"/>
      <c r="F27" s="363">
        <f>'CCTA Output and Adj Factors'!D50*'CCTA Output and Adj Factors'!F2</f>
        <v>119340</v>
      </c>
      <c r="G27" s="295">
        <f>'CCTA Output and Adj Factors'!$F$50*F27</f>
        <v>113373</v>
      </c>
      <c r="H27" s="364">
        <f>'CCTA Output and Adj Factors'!D51*'CCTA Output and Adj Factors'!$F$2</f>
        <v>5010</v>
      </c>
      <c r="I27" s="333"/>
      <c r="J27" s="364">
        <f>'CCTA Output and Adj Factors'!D52*'CCTA Output and Adj Factors'!$F$2</f>
        <v>660</v>
      </c>
      <c r="K27" s="328"/>
      <c r="L27" s="364">
        <f>'CCTA Output and Adj Factors'!D53*'CCTA Output and Adj Factors'!$F$2</f>
        <v>5820</v>
      </c>
      <c r="M27" s="295"/>
      <c r="N27" s="364">
        <f>'CCTA Output and Adj Factors'!D48*'CCTA Output and Adj Factors'!F2</f>
        <v>32400</v>
      </c>
      <c r="O27" s="345"/>
      <c r="P27" s="364">
        <f>'CCTA Output and Adj Factors'!D44*'CCTA Output and Adj Factors'!F2</f>
        <v>27960</v>
      </c>
      <c r="Q27" s="347">
        <f>P27-+(F27-G27)*'CCTA Output and Adj Factors'!$F$45</f>
        <v>24976.5</v>
      </c>
      <c r="R27" s="364">
        <f>'CCTA Output and Adj Factors'!D45*'CCTA Output and Adj Factors'!F2</f>
        <v>4260</v>
      </c>
      <c r="S27" s="347">
        <f>R27+(F27-G27)*'CCTA Output and Adj Factors'!$F$45</f>
        <v>7243.5</v>
      </c>
      <c r="T27" s="364">
        <f>'CCTA Output and Adj Factors'!D46*'CCTA Output and Adj Factors'!F2</f>
        <v>90</v>
      </c>
      <c r="U27" s="346"/>
      <c r="V27" s="383">
        <f>'CCTA Output and Adj Factors'!$B$47*'CCTA Output and Adj Factors'!$F$2</f>
        <v>90</v>
      </c>
      <c r="W27" s="293"/>
      <c r="X27" s="367">
        <f>'CCTA Output and Adj Factors'!D5*'CCTA Output and Adj Factors'!F2</f>
        <v>98430</v>
      </c>
      <c r="Y27" s="283"/>
      <c r="Z27" s="367">
        <f>'CCTA Output and Adj Factors'!D38*'CCTA Output and Adj Factors'!F2</f>
        <v>91380</v>
      </c>
      <c r="AA27" s="262"/>
      <c r="AB27" s="370">
        <f>'CCTA Output and Adj Factors'!D39*'CCTA Output and Adj Factors'!F2</f>
        <v>750</v>
      </c>
      <c r="AC27" s="261"/>
      <c r="AD27" s="367">
        <f>'CCTA Output and Adj Factors'!D40*'CCTA Output and Adj Factors'!F2</f>
        <v>570</v>
      </c>
      <c r="AE27" s="262">
        <f>AD27+(F27-G27)*'CCTA Output and Adj Factors'!$F$40</f>
        <v>2061.75</v>
      </c>
      <c r="AF27" s="370">
        <f>'CCTA Output and Adj Factors'!D41*'CCTA Output and Adj Factors'!F2</f>
        <v>5730</v>
      </c>
      <c r="AG27" s="261">
        <f>AF27+(F27-G27)*'CCTA Output and Adj Factors'!$F$41</f>
        <v>7221.75</v>
      </c>
      <c r="AH27" s="265">
        <f>'CCTA Output and Adj Factors'!D10</f>
        <v>177000</v>
      </c>
      <c r="AI27" s="283"/>
      <c r="AJ27" s="265">
        <f>'CCTA Output and Adj Factors'!D11</f>
        <v>234000</v>
      </c>
      <c r="AK27" s="283"/>
      <c r="AL27" s="265">
        <f>'CCTA Output and Adj Factors'!D12</f>
        <v>562900</v>
      </c>
      <c r="AM27" s="283"/>
      <c r="AN27" s="265">
        <f>'CCTA Output and Adj Factors'!D13</f>
        <v>1154500</v>
      </c>
      <c r="AO27" s="283"/>
      <c r="AP27" s="265">
        <f>'CCTA Output and Adj Factors'!D14</f>
        <v>743100</v>
      </c>
      <c r="AQ27" s="283"/>
      <c r="AR27" s="265">
        <f>'CCTA Output and Adj Factors'!D15</f>
        <v>301900</v>
      </c>
      <c r="AS27" s="283"/>
      <c r="AT27" s="265">
        <f>'CCTA Output and Adj Factors'!D16</f>
        <v>107600</v>
      </c>
      <c r="AU27" s="283"/>
      <c r="AV27" s="370">
        <f>'CCTA Output and Adj Factors'!D60*'CCTA Output and Adj Factors'!F2</f>
        <v>420240</v>
      </c>
      <c r="AW27" s="261">
        <f>AV27*'CCTA Output and Adj Factors'!$F$60</f>
        <v>0</v>
      </c>
      <c r="AX27" s="373">
        <f>'CCTA Output and Adj Factors'!D61*'CCTA Output and Adj Factors'!F2</f>
        <v>372578.97</v>
      </c>
      <c r="AY27" s="261"/>
      <c r="AZ27" s="374">
        <f>_xlfn.FORECAST.LINEAR(A27,'CCTA Output and Adj Factors'!$C$62:$D$62,'CCTA Output and Adj Factors'!$C$3:$D$3)*'CCTA Output and Adj Factors'!$F$2</f>
        <v>792818.97</v>
      </c>
      <c r="BA27" s="262">
        <f>AZ27*'CCTA Output and Adj Factors'!$F$61</f>
        <v>753178.02149999992</v>
      </c>
      <c r="BB27" s="373">
        <v>13367895.146725003</v>
      </c>
      <c r="BC27" s="261">
        <v>11159627.029949998</v>
      </c>
      <c r="BD27" s="373">
        <v>475387.45187500003</v>
      </c>
      <c r="BE27" s="261">
        <v>396857.29125000001</v>
      </c>
      <c r="BF27" s="403">
        <f>(AZ27/1000000)*'BCA Constants'!$B$243</f>
        <v>0.53683992351816001</v>
      </c>
      <c r="BG27" s="404">
        <f>(BA27/1000000)*'BCA Constants'!$B$243</f>
        <v>0.50999792734225191</v>
      </c>
      <c r="BH27" s="403">
        <f>(AZ27/1000000)*'BCA Constants'!$B$244</f>
        <v>0.25736172276552</v>
      </c>
      <c r="BI27" s="404">
        <f>(BA27/1000000)*'BCA Constants'!$B$244</f>
        <v>0.24449363662724399</v>
      </c>
      <c r="BJ27" s="422">
        <f>(AZ27/1000000)*'BCA Constants'!$B$245</f>
        <v>2.4918300227100001E-3</v>
      </c>
      <c r="BK27" s="416">
        <f>(BA27/1000000)*'BCA Constants'!$B$245</f>
        <v>2.3672385215744995E-3</v>
      </c>
      <c r="BL27" s="399">
        <f>(S27-R27)*'BCA Constants'!$B$81*'BCA Constants'!$B$9</f>
        <v>77571</v>
      </c>
      <c r="BM27" s="261">
        <f t="shared" si="10"/>
        <v>20045.820467274611</v>
      </c>
      <c r="BN27" s="284">
        <f>(AG27-AF27)*'BCA Constants'!$B$43*'BCA Constants'!$B$9</f>
        <v>2746013.4</v>
      </c>
      <c r="BO27" s="261">
        <f t="shared" si="1"/>
        <v>709622.04454152111</v>
      </c>
      <c r="BP27" s="284">
        <f>(AE27-AD27)*'BCA Constants'!$B$44*'BCA Constants'!$B$9</f>
        <v>2447365.0499999998</v>
      </c>
      <c r="BQ27" s="261">
        <f t="shared" si="2"/>
        <v>632445.63574251381</v>
      </c>
      <c r="BR27" s="284">
        <f t="shared" si="17"/>
        <v>20620.247152859229</v>
      </c>
      <c r="BS27" s="261">
        <f t="shared" si="3"/>
        <v>5328.6637070173974</v>
      </c>
      <c r="BT27" s="284">
        <f t="shared" si="18"/>
        <v>2440.3802260324446</v>
      </c>
      <c r="BU27" s="261">
        <f t="shared" si="4"/>
        <v>630.6406244979878</v>
      </c>
      <c r="BV27" s="284">
        <f t="shared" si="19"/>
        <v>80939.211997755338</v>
      </c>
      <c r="BW27" s="261">
        <f t="shared" si="5"/>
        <v>20916.230453000251</v>
      </c>
      <c r="BX27" s="284">
        <f t="shared" si="20"/>
        <v>305905.36929021589</v>
      </c>
      <c r="BY27" s="261">
        <f t="shared" si="6"/>
        <v>169372.38605140959</v>
      </c>
      <c r="BZ27" s="284">
        <f>(BF27-BG27)*'BCA Constants'!$B$248+('Project Benefit Calculations'!BH27-'Project Benefit Calculations'!BI27)*'BCA Constants'!$B$249+('Project Benefit Calculations'!BJ27-'Project Benefit Calculations'!BK27)*'BCA Constants'!$B$250</f>
        <v>5616.7869845283703</v>
      </c>
      <c r="CA27" s="261">
        <f t="shared" si="0"/>
        <v>1451.484491559738</v>
      </c>
      <c r="CB27" s="284">
        <f>(AZ27-BA27)*'BCA Constants'!B$30</f>
        <v>17838.426825000028</v>
      </c>
      <c r="CC27" s="261">
        <f t="shared" si="7"/>
        <v>4609.7884718846726</v>
      </c>
      <c r="CD27" s="284">
        <f>(BB27-BC27)*'BCA Constants'!B$13*'CCTA Output and Adj Factors'!$F$50*'CCTA Output and Adj Factors'!$F$2</f>
        <v>1120254.4156399597</v>
      </c>
      <c r="CE27" s="261">
        <f t="shared" si="7"/>
        <v>289495.02898751159</v>
      </c>
      <c r="CF27" s="284">
        <f>(BB27-BC27)*'BCA Constants'!B$15*(1-'CCTA Output and Adj Factors'!$F$50)*'CCTA Output and Adj Factors'!$F$2</f>
        <v>105996.86960520029</v>
      </c>
      <c r="CG27" s="261">
        <f t="shared" ref="CG27" si="29">CF27/(1.07^($A27-$A$7))</f>
        <v>27391.605344767529</v>
      </c>
    </row>
    <row r="28" spans="1:85" x14ac:dyDescent="0.25">
      <c r="A28" s="199">
        <v>2041</v>
      </c>
      <c r="B28" s="200">
        <v>15</v>
      </c>
      <c r="C28" s="301">
        <v>21</v>
      </c>
      <c r="D28" s="258">
        <f>_xlfn.FORECAST.LINEAR(A28,'CCTA Output and Adj Factors'!$B$54:$D$54,'CCTA Output and Adj Factors'!$B$3:$D$3)*'CCTA Output and Adj Factors'!$F$2</f>
        <v>131808.42105263137</v>
      </c>
      <c r="E28" s="310"/>
      <c r="F28" s="258">
        <f>_xlfn.FORECAST.LINEAR(A28,'CCTA Output and Adj Factors'!$B$50:$D$50,'CCTA Output and Adj Factors'!$B$3:$D$3)*'CCTA Output and Adj Factors'!$F$2</f>
        <v>120215.7894736842</v>
      </c>
      <c r="G28" s="295">
        <f>'CCTA Output and Adj Factors'!$F$50*F28</f>
        <v>114204.99999999999</v>
      </c>
      <c r="H28" s="284">
        <f>_xlfn.FORECAST.LINEAR(A28,'CCTA Output and Adj Factors'!$B$51:$D$51,'CCTA Output and Adj Factors'!$B$3:$D$3)*'CCTA Output and Adj Factors'!$F$2</f>
        <v>5062.6315789473711</v>
      </c>
      <c r="I28" s="261"/>
      <c r="J28" s="284">
        <f>_xlfn.FORECAST.LINEAR(A28,'CCTA Output and Adj Factors'!$B$52:$D$52,'CCTA Output and Adj Factors'!$B$3:$D$3)*'CCTA Output and Adj Factors'!$F$2</f>
        <v>666.31578947368484</v>
      </c>
      <c r="K28" s="261"/>
      <c r="L28" s="284">
        <f>_xlfn.FORECAST.LINEAR(A28,'CCTA Output and Adj Factors'!$B$53:$D$53,'CCTA Output and Adj Factors'!$B$3:$D$3)*'CCTA Output and Adj Factors'!$F$2</f>
        <v>5863.6842105263186</v>
      </c>
      <c r="M28" s="295"/>
      <c r="N28" s="258">
        <f>_xlfn.FORECAST.LINEAR(A28,'CCTA Output and Adj Factors'!$B$48:$D$48,'CCTA Output and Adj Factors'!$B$3:$D$3)*'CCTA Output and Adj Factors'!$F$2</f>
        <v>32518.947368421086</v>
      </c>
      <c r="O28" s="259"/>
      <c r="P28" s="258">
        <f>_xlfn.FORECAST.LINEAR(A28,'CCTA Output and Adj Factors'!$B$44:$D$44,'CCTA Output and Adj Factors'!$B$3:$D$3)*'CCTA Output and Adj Factors'!$F$2</f>
        <v>28043.157894736825</v>
      </c>
      <c r="Q28" s="347">
        <f>P28-+(F28-G28)*'CCTA Output and Adj Factors'!$F$45</f>
        <v>25037.763157894718</v>
      </c>
      <c r="R28" s="258">
        <f>_xlfn.FORECAST.LINEAR(A28,'CCTA Output and Adj Factors'!$B$45:$D$45,'CCTA Output and Adj Factors'!$B$3:$D$3)*'CCTA Output and Adj Factors'!$F$2</f>
        <v>4295.2631578947367</v>
      </c>
      <c r="S28" s="347">
        <f>R28+(F28-G28)*'CCTA Output and Adj Factors'!$F$45</f>
        <v>7300.6578947368434</v>
      </c>
      <c r="T28" s="258">
        <f>_xlfn.FORECAST.LINEAR(A28,'CCTA Output and Adj Factors'!$C$46:$D$46,'CCTA Output and Adj Factors'!$C$3:$D$3)*'CCTA Output and Adj Factors'!$F$2</f>
        <v>91.764705882352857</v>
      </c>
      <c r="U28" s="259"/>
      <c r="V28" s="382">
        <f>'CCTA Output and Adj Factors'!$B$47*'CCTA Output and Adj Factors'!$F$2</f>
        <v>90</v>
      </c>
      <c r="W28" s="201"/>
      <c r="X28" s="260">
        <f>_xlfn.FORECAST.LINEAR(A28,'CCTA Output and Adj Factors'!$B$5:$D$5,'CCTA Output and Adj Factors'!$B$3:$D$3)*'CCTA Output and Adj Factors'!$F$2</f>
        <v>99289.473684210549</v>
      </c>
      <c r="Y28" s="259"/>
      <c r="Z28" s="260">
        <f>_xlfn.FORECAST.LINEAR(A28,'CCTA Output and Adj Factors'!$B$38:$D$38,'CCTA Output and Adj Factors'!$B$3:$D$3)*'CCTA Output and Adj Factors'!$F$2</f>
        <v>92172.631578947374</v>
      </c>
      <c r="AA28" s="262"/>
      <c r="AB28" s="284">
        <f>_xlfn.FORECAST.LINEAR(A28,'CCTA Output and Adj Factors'!$B$39:$D$39,'CCTA Output and Adj Factors'!$B$3:$D$3)*'CCTA Output and Adj Factors'!$F$2</f>
        <v>767.36842105263372</v>
      </c>
      <c r="AC28" s="261"/>
      <c r="AD28" s="260">
        <f>_xlfn.FORECAST.LINEAR(A28,'CCTA Output and Adj Factors'!$B$40:$D$40,'CCTA Output and Adj Factors'!$B$3:$D$3)*'CCTA Output and Adj Factors'!$F$2</f>
        <v>575.78947368421007</v>
      </c>
      <c r="AE28" s="262">
        <f>AD28+(F28-G28)*'CCTA Output and Adj Factors'!$F$40</f>
        <v>2078.4868421052633</v>
      </c>
      <c r="AF28" s="258">
        <f>_xlfn.FORECAST.LINEAR(A28,'CCTA Output and Adj Factors'!$B$41:$D$41,'CCTA Output and Adj Factors'!$B$3:$D$3)*'CCTA Output and Adj Factors'!$F$2</f>
        <v>5773.6842105263186</v>
      </c>
      <c r="AG28" s="261">
        <f>AF28+(F28-G28)*'CCTA Output and Adj Factors'!$F$41</f>
        <v>7276.381578947372</v>
      </c>
      <c r="AH28" s="258">
        <f>_xlfn.FORECAST.LINEAR(A28,'CCTA Output and Adj Factors'!$B$10:$D$10,'CCTA Output and Adj Factors'!$B$3:$D$3)</f>
        <v>178085.96491228091</v>
      </c>
      <c r="AI28" s="259"/>
      <c r="AJ28" s="258">
        <f>_xlfn.FORECAST.LINEAR(A28,'CCTA Output and Adj Factors'!$B$11:$D$11,'CCTA Output and Adj Factors'!$B$3:$D$3)</f>
        <v>235550.87719298247</v>
      </c>
      <c r="AK28" s="259"/>
      <c r="AL28" s="258">
        <f>_xlfn.FORECAST.LINEAR(A28,'CCTA Output and Adj Factors'!$B$12:$D$12,'CCTA Output and Adj Factors'!$B$3:$D$3)</f>
        <v>566884.2105263155</v>
      </c>
      <c r="AM28" s="259"/>
      <c r="AN28" s="258">
        <f>_xlfn.FORECAST.LINEAR(A28,'CCTA Output and Adj Factors'!$B$13:$D$13,'CCTA Output and Adj Factors'!$B$3:$D$3)</f>
        <v>1164421.0526315793</v>
      </c>
      <c r="AO28" s="259"/>
      <c r="AP28" s="258">
        <f>_xlfn.FORECAST.LINEAR(A28,'CCTA Output and Adj Factors'!$B$14:$D$14,'CCTA Output and Adj Factors'!$B$3:$D$3)</f>
        <v>751691.22807017714</v>
      </c>
      <c r="AQ28" s="259"/>
      <c r="AR28" s="258">
        <f>_xlfn.FORECAST.LINEAR(A28,'CCTA Output and Adj Factors'!$B$15:$D$15,'CCTA Output and Adj Factors'!$B$3:$D$3)</f>
        <v>304580.70175438561</v>
      </c>
      <c r="AS28" s="259"/>
      <c r="AT28" s="258">
        <f>_xlfn.FORECAST.LINEAR(A28,'CCTA Output and Adj Factors'!$B$16:$D$16,'CCTA Output and Adj Factors'!$B$3:$D$3)</f>
        <v>108435.0877192982</v>
      </c>
      <c r="AU28" s="259"/>
      <c r="AV28" s="258">
        <f>_xlfn.FORECAST.LINEAR(A28,'CCTA Output and Adj Factors'!$B$60:$D$60,'CCTA Output and Adj Factors'!$B$3:$D$3)*'CCTA Output and Adj Factors'!$F$2</f>
        <v>423892.63157894788</v>
      </c>
      <c r="AW28" s="261">
        <f>AV28*'CCTA Output and Adj Factors'!$F$60</f>
        <v>0</v>
      </c>
      <c r="AX28" s="353">
        <f>_xlfn.FORECAST.LINEAR(A28,'CCTA Output and Adj Factors'!$C$61:$D$61,'CCTA Output and Adj Factors'!$C$3:$D$3)*'CCTA Output and Adj Factors'!$F$2</f>
        <v>375114.57</v>
      </c>
      <c r="AY28" s="261"/>
      <c r="AZ28" s="332">
        <f>_xlfn.FORECAST.LINEAR(A28,'CCTA Output and Adj Factors'!$C$62:$D$62,'CCTA Output and Adj Factors'!$C$3:$D$3)*'CCTA Output and Adj Factors'!$F$2</f>
        <v>798834.57</v>
      </c>
      <c r="BA28" s="262">
        <f>AZ28*'CCTA Output and Adj Factors'!$F$61</f>
        <v>758892.84149999986</v>
      </c>
      <c r="BB28" s="353">
        <v>13710709.915650001</v>
      </c>
      <c r="BC28" s="261">
        <v>11488666.496299999</v>
      </c>
      <c r="BD28" s="353">
        <v>487578.58875</v>
      </c>
      <c r="BE28" s="261">
        <v>408558.55250000005</v>
      </c>
      <c r="BF28" s="403">
        <f>(AZ28/1000000)*'BCA Constants'!$B$243</f>
        <v>0.54091325471495988</v>
      </c>
      <c r="BG28" s="404">
        <f>(BA28/1000000)*'BCA Constants'!$B$243</f>
        <v>0.51386759197921195</v>
      </c>
      <c r="BH28" s="403">
        <f>(AZ28/1000000)*'BCA Constants'!$B$244</f>
        <v>0.25931448277511998</v>
      </c>
      <c r="BI28" s="404">
        <f>(BA28/1000000)*'BCA Constants'!$B$244</f>
        <v>0.24634875863636399</v>
      </c>
      <c r="BJ28" s="422">
        <f>(AZ28/1000000)*'BCA Constants'!$B$245</f>
        <v>2.5107370535099997E-3</v>
      </c>
      <c r="BK28" s="416">
        <f>(BA28/1000000)*'BCA Constants'!$B$245</f>
        <v>2.3852002008344997E-3</v>
      </c>
      <c r="BL28" s="399">
        <f>(S28-R28)*'BCA Constants'!$B$81*'BCA Constants'!$B$9</f>
        <v>78140.263157894777</v>
      </c>
      <c r="BM28" s="261">
        <f t="shared" si="10"/>
        <v>18871.89615409014</v>
      </c>
      <c r="BN28" s="284">
        <f>(AG28-AF28)*'BCA Constants'!$B$43*'BCA Constants'!$B$9</f>
        <v>2766165.3157894751</v>
      </c>
      <c r="BO28" s="261">
        <f t="shared" si="1"/>
        <v>668065.12385479093</v>
      </c>
      <c r="BP28" s="284">
        <f>(AE28-AD28)*'BCA Constants'!$B$44*'BCA Constants'!$B$9</f>
        <v>2465325.3026315803</v>
      </c>
      <c r="BQ28" s="261">
        <f t="shared" si="2"/>
        <v>595408.32366154389</v>
      </c>
      <c r="BR28" s="284">
        <f t="shared" si="17"/>
        <v>21018.468230360304</v>
      </c>
      <c r="BS28" s="261">
        <f t="shared" si="3"/>
        <v>5076.2351409015782</v>
      </c>
      <c r="BT28" s="284">
        <f t="shared" si="18"/>
        <v>2488.36257844395</v>
      </c>
      <c r="BU28" s="261">
        <f t="shared" si="4"/>
        <v>600.97212725311465</v>
      </c>
      <c r="BV28" s="284">
        <f t="shared" si="19"/>
        <v>82430.346315920353</v>
      </c>
      <c r="BW28" s="261">
        <f t="shared" si="5"/>
        <v>19908.007379964478</v>
      </c>
      <c r="BX28" s="284">
        <f t="shared" si="20"/>
        <v>312250.45046869479</v>
      </c>
      <c r="BY28" s="261">
        <f t="shared" si="6"/>
        <v>167850.00355172568</v>
      </c>
      <c r="BZ28" s="284">
        <f>(BF28-BG28)*'BCA Constants'!$B$248+('Project Benefit Calculations'!BH28-'Project Benefit Calculations'!BI28)*'BCA Constants'!$B$249+('Project Benefit Calculations'!BJ28-'Project Benefit Calculations'!BK28)*'BCA Constants'!$B$250</f>
        <v>5659.4049655084673</v>
      </c>
      <c r="CA28" s="261">
        <f t="shared" si="0"/>
        <v>1366.8203623425748</v>
      </c>
      <c r="CB28" s="284">
        <f>(AZ28-BA28)*'BCA Constants'!B$30</f>
        <v>17973.777825000037</v>
      </c>
      <c r="CC28" s="261">
        <f t="shared" si="7"/>
        <v>4340.902562929472</v>
      </c>
      <c r="CD28" s="284">
        <f>(BB28-BC28)*'BCA Constants'!B$13*'CCTA Output and Adj Factors'!$F$50*'CCTA Output and Adj Factors'!$F$2</f>
        <v>1127242.626636256</v>
      </c>
      <c r="CE28" s="261">
        <f t="shared" si="7"/>
        <v>272243.84626600688</v>
      </c>
      <c r="CF28" s="284">
        <f>(BB28-BC28)*'BCA Constants'!B$15*(1-'CCTA Output and Adj Factors'!$F$50)*'CCTA Output and Adj Factors'!$F$2</f>
        <v>106658.08412880018</v>
      </c>
      <c r="CG28" s="261">
        <f t="shared" ref="CG28" si="30">CF28/(1.07^($A28-$A$7))</f>
        <v>25759.323123927345</v>
      </c>
    </row>
    <row r="29" spans="1:85" x14ac:dyDescent="0.25">
      <c r="A29" s="204">
        <v>2042</v>
      </c>
      <c r="B29" s="200">
        <v>16</v>
      </c>
      <c r="C29" s="301">
        <v>22</v>
      </c>
      <c r="D29" s="258">
        <f>_xlfn.FORECAST.LINEAR(A29,'CCTA Output and Adj Factors'!$B$54:$D$54,'CCTA Output and Adj Factors'!$B$3:$D$3)*'CCTA Output and Adj Factors'!$F$2</f>
        <v>132830.45112781919</v>
      </c>
      <c r="E29" s="310"/>
      <c r="F29" s="258">
        <f>_xlfn.FORECAST.LINEAR(A29,'CCTA Output and Adj Factors'!$B$50:$D$50,'CCTA Output and Adj Factors'!$B$3:$D$3)*'CCTA Output and Adj Factors'!$F$2</f>
        <v>121134.06015037603</v>
      </c>
      <c r="G29" s="295">
        <f>'CCTA Output and Adj Factors'!$F$50*F29</f>
        <v>115077.35714285722</v>
      </c>
      <c r="H29" s="284">
        <f>_xlfn.FORECAST.LINEAR(A29,'CCTA Output and Adj Factors'!$B$51:$D$51,'CCTA Output and Adj Factors'!$B$3:$D$3)*'CCTA Output and Adj Factors'!$F$2</f>
        <v>5112.8195488721876</v>
      </c>
      <c r="I29" s="261"/>
      <c r="J29" s="284">
        <f>_xlfn.FORECAST.LINEAR(A29,'CCTA Output and Adj Factors'!$B$52:$D$52,'CCTA Output and Adj Factors'!$B$3:$D$3)*'CCTA Output and Adj Factors'!$F$2</f>
        <v>673.19548872180451</v>
      </c>
      <c r="K29" s="261"/>
      <c r="L29" s="284">
        <f>_xlfn.FORECAST.LINEAR(A29,'CCTA Output and Adj Factors'!$B$53:$D$53,'CCTA Output and Adj Factors'!$B$3:$D$3)*'CCTA Output and Adj Factors'!$F$2</f>
        <v>5910.3759398496286</v>
      </c>
      <c r="M29" s="295"/>
      <c r="N29" s="258">
        <f>_xlfn.FORECAST.LINEAR(A29,'CCTA Output and Adj Factors'!$B$48:$D$48,'CCTA Output and Adj Factors'!$B$3:$D$3)*'CCTA Output and Adj Factors'!$F$2</f>
        <v>32711.015037594047</v>
      </c>
      <c r="O29" s="259"/>
      <c r="P29" s="258">
        <f>_xlfn.FORECAST.LINEAR(A29,'CCTA Output and Adj Factors'!$B$44:$D$44,'CCTA Output and Adj Factors'!$B$3:$D$3)*'CCTA Output and Adj Factors'!$F$2</f>
        <v>28199.812030075136</v>
      </c>
      <c r="Q29" s="347">
        <f>P29-+(F29-G29)*'CCTA Output and Adj Factors'!$F$45</f>
        <v>25171.460526315732</v>
      </c>
      <c r="R29" s="258">
        <f>_xlfn.FORECAST.LINEAR(A29,'CCTA Output and Adj Factors'!$B$45:$D$45,'CCTA Output and Adj Factors'!$B$3:$D$3)*'CCTA Output and Adj Factors'!$F$2</f>
        <v>4329.2105263157937</v>
      </c>
      <c r="S29" s="347">
        <f>R29+(F29-G29)*'CCTA Output and Adj Factors'!$F$45</f>
        <v>7357.562030075198</v>
      </c>
      <c r="T29" s="258">
        <f>_xlfn.FORECAST.LINEAR(A29,'CCTA Output and Adj Factors'!$C$46:$D$46,'CCTA Output and Adj Factors'!$C$3:$D$3)*'CCTA Output and Adj Factors'!$F$2</f>
        <v>93.529411764705728</v>
      </c>
      <c r="U29" s="259"/>
      <c r="V29" s="382">
        <f>'CCTA Output and Adj Factors'!$B$47*'CCTA Output and Adj Factors'!$F$2</f>
        <v>90</v>
      </c>
      <c r="W29" s="201"/>
      <c r="X29" s="260">
        <f>_xlfn.FORECAST.LINEAR(A29,'CCTA Output and Adj Factors'!$B$5:$D$5,'CCTA Output and Adj Factors'!$B$3:$D$3)*'CCTA Output and Adj Factors'!$F$2</f>
        <v>100119.43609022564</v>
      </c>
      <c r="Y29" s="259"/>
      <c r="Z29" s="260">
        <f>_xlfn.FORECAST.LINEAR(A29,'CCTA Output and Adj Factors'!$B$38:$D$38,'CCTA Output and Adj Factors'!$B$3:$D$3)*'CCTA Output and Adj Factors'!$F$2</f>
        <v>92934.248120300617</v>
      </c>
      <c r="AA29" s="262"/>
      <c r="AB29" s="284">
        <f>_xlfn.FORECAST.LINEAR(A29,'CCTA Output and Adj Factors'!$B$39:$D$39,'CCTA Output and Adj Factors'!$B$3:$D$3)*'CCTA Output and Adj Factors'!$F$2</f>
        <v>783.60902255639428</v>
      </c>
      <c r="AC29" s="261"/>
      <c r="AD29" s="260">
        <f>_xlfn.FORECAST.LINEAR(A29,'CCTA Output and Adj Factors'!$B$40:$D$40,'CCTA Output and Adj Factors'!$B$3:$D$3)*'CCTA Output and Adj Factors'!$F$2</f>
        <v>581.20300751879631</v>
      </c>
      <c r="AE29" s="262">
        <f>AD29+(F29-G29)*'CCTA Output and Adj Factors'!$F$40</f>
        <v>2095.3787593984985</v>
      </c>
      <c r="AF29" s="258">
        <f>_xlfn.FORECAST.LINEAR(A29,'CCTA Output and Adj Factors'!$B$41:$D$41,'CCTA Output and Adj Factors'!$B$3:$D$3)*'CCTA Output and Adj Factors'!$F$2</f>
        <v>5820.3759398496286</v>
      </c>
      <c r="AG29" s="261">
        <f>AF29+(F29-G29)*'CCTA Output and Adj Factors'!$F$41</f>
        <v>7334.5516917293307</v>
      </c>
      <c r="AH29" s="258">
        <f>_xlfn.FORECAST.LINEAR(A29,'CCTA Output and Adj Factors'!$B$10:$D$10,'CCTA Output and Adj Factors'!$B$3:$D$3)</f>
        <v>179361.15288220579</v>
      </c>
      <c r="AI29" s="259"/>
      <c r="AJ29" s="258">
        <f>_xlfn.FORECAST.LINEAR(A29,'CCTA Output and Adj Factors'!$B$11:$D$11,'CCTA Output and Adj Factors'!$B$3:$D$3)</f>
        <v>237228.32080200501</v>
      </c>
      <c r="AK29" s="259"/>
      <c r="AL29" s="258">
        <f>_xlfn.FORECAST.LINEAR(A29,'CCTA Output and Adj Factors'!$B$12:$D$12,'CCTA Output and Adj Factors'!$B$3:$D$3)</f>
        <v>570625.93984962348</v>
      </c>
      <c r="AM29" s="259"/>
      <c r="AN29" s="258">
        <f>_xlfn.FORECAST.LINEAR(A29,'CCTA Output and Adj Factors'!$B$13:$D$13,'CCTA Output and Adj Factors'!$B$3:$D$3)</f>
        <v>1174129.6992481202</v>
      </c>
      <c r="AO29" s="259"/>
      <c r="AP29" s="258">
        <f>_xlfn.FORECAST.LINEAR(A29,'CCTA Output and Adj Factors'!$B$14:$D$14,'CCTA Output and Adj Factors'!$B$3:$D$3)</f>
        <v>759231.07769423723</v>
      </c>
      <c r="AQ29" s="259"/>
      <c r="AR29" s="258">
        <f>_xlfn.FORECAST.LINEAR(A29,'CCTA Output and Adj Factors'!$B$15:$D$15,'CCTA Output and Adj Factors'!$B$3:$D$3)</f>
        <v>307226.94235588983</v>
      </c>
      <c r="AS29" s="259"/>
      <c r="AT29" s="258">
        <f>_xlfn.FORECAST.LINEAR(A29,'CCTA Output and Adj Factors'!$B$16:$D$16,'CCTA Output and Adj Factors'!$B$3:$D$3)</f>
        <v>109511.40350877191</v>
      </c>
      <c r="AU29" s="259"/>
      <c r="AV29" s="258">
        <f>_xlfn.FORECAST.LINEAR(A29,'CCTA Output and Adj Factors'!$B$60:$D$60,'CCTA Output and Adj Factors'!$B$3:$D$3)*'CCTA Output and Adj Factors'!$F$2</f>
        <v>427414.24812030134</v>
      </c>
      <c r="AW29" s="261">
        <f>AV29*'CCTA Output and Adj Factors'!$F$60</f>
        <v>0</v>
      </c>
      <c r="AX29" s="353">
        <f>_xlfn.FORECAST.LINEAR(A29,'CCTA Output and Adj Factors'!$C$61:$D$61,'CCTA Output and Adj Factors'!$C$3:$D$3)*'CCTA Output and Adj Factors'!$F$2</f>
        <v>377650.17</v>
      </c>
      <c r="AY29" s="261"/>
      <c r="AZ29" s="332">
        <f>_xlfn.FORECAST.LINEAR(A29,'CCTA Output and Adj Factors'!$C$62:$D$62,'CCTA Output and Adj Factors'!$C$3:$D$3)*'CCTA Output and Adj Factors'!$F$2</f>
        <v>804850.16999999993</v>
      </c>
      <c r="BA29" s="262">
        <f>AZ29*'CCTA Output and Adj Factors'!$F$61</f>
        <v>764607.66149999993</v>
      </c>
      <c r="BB29" s="353">
        <v>14053524.684574999</v>
      </c>
      <c r="BC29" s="261">
        <v>11817705.962650001</v>
      </c>
      <c r="BD29" s="353">
        <v>499769.72562500002</v>
      </c>
      <c r="BE29" s="261">
        <v>420259.81375000003</v>
      </c>
      <c r="BF29" s="403">
        <f>(AZ29/1000000)*'BCA Constants'!$B$243</f>
        <v>0.54498658591175986</v>
      </c>
      <c r="BG29" s="404">
        <f>(BA29/1000000)*'BCA Constants'!$B$243</f>
        <v>0.51773725661617187</v>
      </c>
      <c r="BH29" s="403">
        <f>(AZ29/1000000)*'BCA Constants'!$B$244</f>
        <v>0.26126724278471997</v>
      </c>
      <c r="BI29" s="404">
        <f>(BA29/1000000)*'BCA Constants'!$B$244</f>
        <v>0.24820388064548399</v>
      </c>
      <c r="BJ29" s="422">
        <f>(AZ29/1000000)*'BCA Constants'!$B$245</f>
        <v>2.5296440843099997E-3</v>
      </c>
      <c r="BK29" s="416">
        <f>(BA29/1000000)*'BCA Constants'!$B$245</f>
        <v>2.4031618800944999E-3</v>
      </c>
      <c r="BL29" s="399">
        <f>(S29-R29)*'BCA Constants'!$B$81*'BCA Constants'!$B$9</f>
        <v>78737.139097744512</v>
      </c>
      <c r="BM29" s="261">
        <f t="shared" si="10"/>
        <v>17772.008882920789</v>
      </c>
      <c r="BN29" s="284">
        <f>(AG29-AF29)*'BCA Constants'!$B$43*'BCA Constants'!$B$9</f>
        <v>2787294.7240601559</v>
      </c>
      <c r="BO29" s="261">
        <f t="shared" si="1"/>
        <v>629129.11445539596</v>
      </c>
      <c r="BP29" s="284">
        <f>(AE29-AD29)*'BCA Constants'!$B$44*'BCA Constants'!$B$9</f>
        <v>2484156.7385338391</v>
      </c>
      <c r="BQ29" s="261">
        <f t="shared" si="2"/>
        <v>560706.88025615073</v>
      </c>
      <c r="BR29" s="284">
        <f t="shared" si="17"/>
        <v>21416.689307861263</v>
      </c>
      <c r="BS29" s="261">
        <f t="shared" si="3"/>
        <v>4834.0287313406861</v>
      </c>
      <c r="BT29" s="284">
        <f t="shared" si="18"/>
        <v>2536.3449308554409</v>
      </c>
      <c r="BU29" s="261">
        <f t="shared" si="4"/>
        <v>572.48644233004961</v>
      </c>
      <c r="BV29" s="284">
        <f t="shared" si="19"/>
        <v>83921.480634085368</v>
      </c>
      <c r="BW29" s="261">
        <f t="shared" si="5"/>
        <v>18942.183020459197</v>
      </c>
      <c r="BX29" s="284">
        <f t="shared" si="20"/>
        <v>318595.53164717555</v>
      </c>
      <c r="BY29" s="261">
        <f t="shared" si="6"/>
        <v>166272.61878136138</v>
      </c>
      <c r="BZ29" s="284">
        <f>(BF29-BG29)*'BCA Constants'!$B$248+('Project Benefit Calculations'!BH29-'Project Benefit Calculations'!BI29)*'BCA Constants'!$B$249+('Project Benefit Calculations'!BJ29-'Project Benefit Calculations'!BK29)*'BCA Constants'!$B$250</f>
        <v>5702.0229464885688</v>
      </c>
      <c r="CA29" s="261">
        <f t="shared" si="0"/>
        <v>1287.0216471773722</v>
      </c>
      <c r="CB29" s="284">
        <f>(AZ29-BA29)*'BCA Constants'!B$30</f>
        <v>18109.128825</v>
      </c>
      <c r="CC29" s="261">
        <f t="shared" si="7"/>
        <v>4087.4687857318418</v>
      </c>
      <c r="CD29" s="284">
        <f>(BB29-BC29)*'BCA Constants'!B$13*'CCTA Output and Adj Factors'!$F$50*'CCTA Output and Adj Factors'!$F$2</f>
        <v>1134230.8376325516</v>
      </c>
      <c r="CE29" s="261">
        <f t="shared" si="7"/>
        <v>256010.83240609922</v>
      </c>
      <c r="CF29" s="284">
        <f>(BB29-BC29)*'BCA Constants'!B$15*(1-'CCTA Output and Adj Factors'!$F$50)*'CCTA Output and Adj Factors'!$F$2</f>
        <v>107319.29865239999</v>
      </c>
      <c r="CG29" s="261">
        <f t="shared" ref="CG29" si="31">CF29/(1.07^($A29-$A$7))</f>
        <v>24223.378583664045</v>
      </c>
    </row>
    <row r="30" spans="1:85" x14ac:dyDescent="0.25">
      <c r="A30" s="199">
        <v>2043</v>
      </c>
      <c r="B30" s="200">
        <v>17</v>
      </c>
      <c r="C30" s="301">
        <v>23</v>
      </c>
      <c r="D30" s="258">
        <f>_xlfn.FORECAST.LINEAR(A30,'CCTA Output and Adj Factors'!$B$54:$D$54,'CCTA Output and Adj Factors'!$B$3:$D$3)*'CCTA Output and Adj Factors'!$F$2</f>
        <v>133852.48120300702</v>
      </c>
      <c r="E30" s="310"/>
      <c r="F30" s="258">
        <f>_xlfn.FORECAST.LINEAR(A30,'CCTA Output and Adj Factors'!$B$50:$D$50,'CCTA Output and Adj Factors'!$B$3:$D$3)*'CCTA Output and Adj Factors'!$F$2</f>
        <v>122052.33082706764</v>
      </c>
      <c r="G30" s="295">
        <f>'CCTA Output and Adj Factors'!$F$50*F30</f>
        <v>115949.71428571425</v>
      </c>
      <c r="H30" s="284">
        <f>_xlfn.FORECAST.LINEAR(A30,'CCTA Output and Adj Factors'!$B$51:$D$51,'CCTA Output and Adj Factors'!$B$3:$D$3)*'CCTA Output and Adj Factors'!$F$2</f>
        <v>5163.0075187970042</v>
      </c>
      <c r="I30" s="261"/>
      <c r="J30" s="284">
        <f>_xlfn.FORECAST.LINEAR(A30,'CCTA Output and Adj Factors'!$B$52:$D$52,'CCTA Output and Adj Factors'!$B$3:$D$3)*'CCTA Output and Adj Factors'!$F$2</f>
        <v>680.07518796992429</v>
      </c>
      <c r="K30" s="261"/>
      <c r="L30" s="284">
        <f>_xlfn.FORECAST.LINEAR(A30,'CCTA Output and Adj Factors'!$B$53:$D$53,'CCTA Output and Adj Factors'!$B$3:$D$3)*'CCTA Output and Adj Factors'!$F$2</f>
        <v>5957.0676691729386</v>
      </c>
      <c r="M30" s="295"/>
      <c r="N30" s="258">
        <f>_xlfn.FORECAST.LINEAR(A30,'CCTA Output and Adj Factors'!$B$48:$D$48,'CCTA Output and Adj Factors'!$B$3:$D$3)*'CCTA Output and Adj Factors'!$F$2</f>
        <v>32903.082706766945</v>
      </c>
      <c r="O30" s="259"/>
      <c r="P30" s="258">
        <f>_xlfn.FORECAST.LINEAR(A30,'CCTA Output and Adj Factors'!$B$44:$D$44,'CCTA Output and Adj Factors'!$B$3:$D$3)*'CCTA Output and Adj Factors'!$F$2</f>
        <v>28356.466165413502</v>
      </c>
      <c r="Q30" s="347">
        <f>P30-+(F30-G30)*'CCTA Output and Adj Factors'!$F$45</f>
        <v>25305.157894736807</v>
      </c>
      <c r="R30" s="258">
        <f>_xlfn.FORECAST.LINEAR(A30,'CCTA Output and Adj Factors'!$B$45:$D$45,'CCTA Output and Adj Factors'!$B$3:$D$3)*'CCTA Output and Adj Factors'!$F$2</f>
        <v>4363.1578947368353</v>
      </c>
      <c r="S30" s="347">
        <f>R30+(F30-G30)*'CCTA Output and Adj Factors'!$F$45</f>
        <v>7414.4661654135298</v>
      </c>
      <c r="T30" s="258">
        <f>_xlfn.FORECAST.LINEAR(A30,'CCTA Output and Adj Factors'!$C$46:$D$46,'CCTA Output and Adj Factors'!$C$3:$D$3)*'CCTA Output and Adj Factors'!$F$2</f>
        <v>95.294117647058584</v>
      </c>
      <c r="U30" s="259"/>
      <c r="V30" s="382">
        <f>'CCTA Output and Adj Factors'!$B$47*'CCTA Output and Adj Factors'!$F$2</f>
        <v>90</v>
      </c>
      <c r="W30" s="201"/>
      <c r="X30" s="260">
        <f>_xlfn.FORECAST.LINEAR(A30,'CCTA Output and Adj Factors'!$B$5:$D$5,'CCTA Output and Adj Factors'!$B$3:$D$3)*'CCTA Output and Adj Factors'!$F$2</f>
        <v>100949.39849624052</v>
      </c>
      <c r="Y30" s="259"/>
      <c r="Z30" s="260">
        <f>_xlfn.FORECAST.LINEAR(A30,'CCTA Output and Adj Factors'!$B$38:$D$38,'CCTA Output and Adj Factors'!$B$3:$D$3)*'CCTA Output and Adj Factors'!$F$2</f>
        <v>93695.864661654079</v>
      </c>
      <c r="AA30" s="262"/>
      <c r="AB30" s="284">
        <f>_xlfn.FORECAST.LINEAR(A30,'CCTA Output and Adj Factors'!$B$39:$D$39,'CCTA Output and Adj Factors'!$B$3:$D$3)*'CCTA Output and Adj Factors'!$F$2</f>
        <v>799.84962406015484</v>
      </c>
      <c r="AC30" s="261"/>
      <c r="AD30" s="260">
        <f>_xlfn.FORECAST.LINEAR(A30,'CCTA Output and Adj Factors'!$B$40:$D$40,'CCTA Output and Adj Factors'!$B$3:$D$3)*'CCTA Output and Adj Factors'!$F$2</f>
        <v>586.61654135338256</v>
      </c>
      <c r="AE30" s="262">
        <f>AD30+(F30-G30)*'CCTA Output and Adj Factors'!$F$40</f>
        <v>2112.2706766917299</v>
      </c>
      <c r="AF30" s="258">
        <f>_xlfn.FORECAST.LINEAR(A30,'CCTA Output and Adj Factors'!$B$41:$D$41,'CCTA Output and Adj Factors'!$B$3:$D$3)*'CCTA Output and Adj Factors'!$F$2</f>
        <v>5867.0676691729386</v>
      </c>
      <c r="AG30" s="261">
        <f>AF30+(F30-G30)*'CCTA Output and Adj Factors'!$F$41</f>
        <v>7392.7218045112859</v>
      </c>
      <c r="AH30" s="258">
        <f>_xlfn.FORECAST.LINEAR(A30,'CCTA Output and Adj Factors'!$B$10:$D$10,'CCTA Output and Adj Factors'!$B$3:$D$3)</f>
        <v>180636.34085213067</v>
      </c>
      <c r="AI30" s="259"/>
      <c r="AJ30" s="258">
        <f>_xlfn.FORECAST.LINEAR(A30,'CCTA Output and Adj Factors'!$B$11:$D$11,'CCTA Output and Adj Factors'!$B$3:$D$3)</f>
        <v>238905.76441102754</v>
      </c>
      <c r="AK30" s="259"/>
      <c r="AL30" s="258">
        <f>_xlfn.FORECAST.LINEAR(A30,'CCTA Output and Adj Factors'!$B$12:$D$12,'CCTA Output and Adj Factors'!$B$3:$D$3)</f>
        <v>574367.66917293146</v>
      </c>
      <c r="AM30" s="259"/>
      <c r="AN30" s="258">
        <f>_xlfn.FORECAST.LINEAR(A30,'CCTA Output and Adj Factors'!$B$13:$D$13,'CCTA Output and Adj Factors'!$B$3:$D$3)</f>
        <v>1183838.345864661</v>
      </c>
      <c r="AO30" s="259"/>
      <c r="AP30" s="258">
        <f>_xlfn.FORECAST.LINEAR(A30,'CCTA Output and Adj Factors'!$B$14:$D$14,'CCTA Output and Adj Factors'!$B$3:$D$3)</f>
        <v>766770.92731829733</v>
      </c>
      <c r="AQ30" s="259"/>
      <c r="AR30" s="258">
        <f>_xlfn.FORECAST.LINEAR(A30,'CCTA Output and Adj Factors'!$B$15:$D$15,'CCTA Output and Adj Factors'!$B$3:$D$3)</f>
        <v>309873.18295739312</v>
      </c>
      <c r="AS30" s="259"/>
      <c r="AT30" s="258">
        <f>_xlfn.FORECAST.LINEAR(A30,'CCTA Output and Adj Factors'!$B$16:$D$16,'CCTA Output and Adj Factors'!$B$3:$D$3)</f>
        <v>110587.71929824562</v>
      </c>
      <c r="AU30" s="259"/>
      <c r="AV30" s="258">
        <f>_xlfn.FORECAST.LINEAR(A30,'CCTA Output and Adj Factors'!$B$60:$D$60,'CCTA Output and Adj Factors'!$B$3:$D$3)*'CCTA Output and Adj Factors'!$F$2</f>
        <v>430935.86466165393</v>
      </c>
      <c r="AW30" s="261">
        <f>AV30*'CCTA Output and Adj Factors'!$F$60</f>
        <v>0</v>
      </c>
      <c r="AX30" s="353">
        <f>_xlfn.FORECAST.LINEAR(A30,'CCTA Output and Adj Factors'!$C$61:$D$61,'CCTA Output and Adj Factors'!$C$3:$D$3)*'CCTA Output and Adj Factors'!$F$2</f>
        <v>380185.76999999996</v>
      </c>
      <c r="AY30" s="261"/>
      <c r="AZ30" s="332">
        <f>_xlfn.FORECAST.LINEAR(A30,'CCTA Output and Adj Factors'!$C$62:$D$62,'CCTA Output and Adj Factors'!$C$3:$D$3)*'CCTA Output and Adj Factors'!$F$2</f>
        <v>810865.77</v>
      </c>
      <c r="BA30" s="262">
        <f>AZ30*'CCTA Output and Adj Factors'!$F$61</f>
        <v>770322.48149999999</v>
      </c>
      <c r="BB30" s="353">
        <v>14396339.453499997</v>
      </c>
      <c r="BC30" s="261">
        <v>12146745.429</v>
      </c>
      <c r="BD30" s="353">
        <v>511960.86250000005</v>
      </c>
      <c r="BE30" s="261">
        <v>431961.07500000007</v>
      </c>
      <c r="BF30" s="403">
        <f>(AZ30/1000000)*'BCA Constants'!$B$243</f>
        <v>0.54905991710855995</v>
      </c>
      <c r="BG30" s="404">
        <f>(BA30/1000000)*'BCA Constants'!$B$243</f>
        <v>0.52160692125313202</v>
      </c>
      <c r="BH30" s="403">
        <f>(AZ30/1000000)*'BCA Constants'!$B$244</f>
        <v>0.26322000279432001</v>
      </c>
      <c r="BI30" s="404">
        <f>(BA30/1000000)*'BCA Constants'!$B$244</f>
        <v>0.25005900265460401</v>
      </c>
      <c r="BJ30" s="422">
        <f>(AZ30/1000000)*'BCA Constants'!$B$245</f>
        <v>2.5485511151100001E-3</v>
      </c>
      <c r="BK30" s="416">
        <f>(BA30/1000000)*'BCA Constants'!$B$245</f>
        <v>2.4211235593545001E-3</v>
      </c>
      <c r="BL30" s="399">
        <f>(S30-R30)*'BCA Constants'!$B$81*'BCA Constants'!$B$9</f>
        <v>79334.015037594072</v>
      </c>
      <c r="BM30" s="261">
        <f t="shared" si="10"/>
        <v>16735.263215442661</v>
      </c>
      <c r="BN30" s="284">
        <f>(AG30-AF30)*'BCA Constants'!$B$43*'BCA Constants'!$B$9</f>
        <v>2808424.1323308297</v>
      </c>
      <c r="BO30" s="261">
        <f t="shared" si="1"/>
        <v>592428.31782667013</v>
      </c>
      <c r="BP30" s="284">
        <f>(AE30-AD30)*'BCA Constants'!$B$44*'BCA Constants'!$B$9</f>
        <v>2502988.1744360924</v>
      </c>
      <c r="BQ30" s="261">
        <f t="shared" si="2"/>
        <v>527997.55444721587</v>
      </c>
      <c r="BR30" s="284">
        <f t="shared" si="17"/>
        <v>21814.910385362222</v>
      </c>
      <c r="BS30" s="261">
        <f t="shared" si="3"/>
        <v>4601.7873562472605</v>
      </c>
      <c r="BT30" s="284">
        <f t="shared" si="18"/>
        <v>2584.3272832669463</v>
      </c>
      <c r="BU30" s="261">
        <f t="shared" si="4"/>
        <v>545.15578594916144</v>
      </c>
      <c r="BV30" s="284">
        <f t="shared" si="19"/>
        <v>85412.614952250849</v>
      </c>
      <c r="BW30" s="261">
        <f t="shared" si="5"/>
        <v>18017.524922541979</v>
      </c>
      <c r="BX30" s="284">
        <f t="shared" si="20"/>
        <v>324940.61282565445</v>
      </c>
      <c r="BY30" s="261">
        <f t="shared" si="6"/>
        <v>164644.72724844731</v>
      </c>
      <c r="BZ30" s="284">
        <f>(BF30-BG30)*'BCA Constants'!$B$248+('Project Benefit Calculations'!BH30-'Project Benefit Calculations'!BI30)*'BCA Constants'!$B$249+('Project Benefit Calculations'!BJ30-'Project Benefit Calculations'!BK30)*'BCA Constants'!$B$250</f>
        <v>5744.6409274686848</v>
      </c>
      <c r="CA30" s="261">
        <f t="shared" si="0"/>
        <v>1211.8140995868678</v>
      </c>
      <c r="CB30" s="284">
        <f>(AZ30-BA30)*'BCA Constants'!B$30</f>
        <v>18244.479825000013</v>
      </c>
      <c r="CC30" s="261">
        <f t="shared" si="7"/>
        <v>3848.6161573383538</v>
      </c>
      <c r="CD30" s="284">
        <f>(BB30-BC30)*'BCA Constants'!B$13*'CCTA Output and Adj Factors'!$F$50*'CCTA Output and Adj Factors'!$F$2</f>
        <v>1141219.0486288487</v>
      </c>
      <c r="CE30" s="261">
        <f t="shared" si="7"/>
        <v>240736.6015224437</v>
      </c>
      <c r="CF30" s="284">
        <f>(BB30-BC30)*'BCA Constants'!B$15*(1-'CCTA Output and Adj Factors'!$F$50)*'CCTA Output and Adj Factors'!$F$2</f>
        <v>107980.51317599996</v>
      </c>
      <c r="CG30" s="261">
        <f t="shared" ref="CG30" si="32">CF30/(1.07^($A30-$A$7))</f>
        <v>22778.152716493805</v>
      </c>
    </row>
    <row r="31" spans="1:85" x14ac:dyDescent="0.25">
      <c r="A31" s="204">
        <v>2044</v>
      </c>
      <c r="B31" s="200">
        <v>18</v>
      </c>
      <c r="C31" s="301">
        <v>24</v>
      </c>
      <c r="D31" s="258">
        <f>_xlfn.FORECAST.LINEAR(A31,'CCTA Output and Adj Factors'!$B$54:$D$54,'CCTA Output and Adj Factors'!$B$3:$D$3)*'CCTA Output and Adj Factors'!$F$2</f>
        <v>134874.51127819531</v>
      </c>
      <c r="E31" s="310"/>
      <c r="F31" s="258">
        <f>_xlfn.FORECAST.LINEAR(A31,'CCTA Output and Adj Factors'!$B$50:$D$50,'CCTA Output and Adj Factors'!$B$3:$D$3)*'CCTA Output and Adj Factors'!$F$2</f>
        <v>122970.60150375946</v>
      </c>
      <c r="G31" s="295">
        <f>'CCTA Output and Adj Factors'!$F$50*F31</f>
        <v>116822.07142857148</v>
      </c>
      <c r="H31" s="284">
        <f>_xlfn.FORECAST.LINEAR(A31,'CCTA Output and Adj Factors'!$B$51:$D$51,'CCTA Output and Adj Factors'!$B$3:$D$3)*'CCTA Output and Adj Factors'!$F$2</f>
        <v>5213.1954887218071</v>
      </c>
      <c r="I31" s="261"/>
      <c r="J31" s="284">
        <f>_xlfn.FORECAST.LINEAR(A31,'CCTA Output and Adj Factors'!$B$52:$D$52,'CCTA Output and Adj Factors'!$B$3:$D$3)*'CCTA Output and Adj Factors'!$F$2</f>
        <v>686.95488721804577</v>
      </c>
      <c r="K31" s="261"/>
      <c r="L31" s="284">
        <f>_xlfn.FORECAST.LINEAR(A31,'CCTA Output and Adj Factors'!$B$53:$D$53,'CCTA Output and Adj Factors'!$B$3:$D$3)*'CCTA Output and Adj Factors'!$F$2</f>
        <v>6003.759398496235</v>
      </c>
      <c r="M31" s="295"/>
      <c r="N31" s="258">
        <f>_xlfn.FORECAST.LINEAR(A31,'CCTA Output and Adj Factors'!$B$48:$D$48,'CCTA Output and Adj Factors'!$B$3:$D$3)*'CCTA Output and Adj Factors'!$F$2</f>
        <v>33095.150375939906</v>
      </c>
      <c r="O31" s="259"/>
      <c r="P31" s="258">
        <f>_xlfn.FORECAST.LINEAR(A31,'CCTA Output and Adj Factors'!$B$44:$D$44,'CCTA Output and Adj Factors'!$B$3:$D$3)*'CCTA Output and Adj Factors'!$F$2</f>
        <v>28513.120300751812</v>
      </c>
      <c r="Q31" s="347">
        <f>P31-+(F31-G31)*'CCTA Output and Adj Factors'!$F$45</f>
        <v>25438.85526315782</v>
      </c>
      <c r="R31" s="258">
        <f>_xlfn.FORECAST.LINEAR(A31,'CCTA Output and Adj Factors'!$B$45:$D$45,'CCTA Output and Adj Factors'!$B$3:$D$3)*'CCTA Output and Adj Factors'!$F$2</f>
        <v>4397.1052631578923</v>
      </c>
      <c r="S31" s="347">
        <f>R31+(F31-G31)*'CCTA Output and Adj Factors'!$F$45</f>
        <v>7471.3703007518843</v>
      </c>
      <c r="T31" s="258">
        <f>_xlfn.FORECAST.LINEAR(A31,'CCTA Output and Adj Factors'!$C$46:$D$46,'CCTA Output and Adj Factors'!$C$3:$D$3)*'CCTA Output and Adj Factors'!$F$2</f>
        <v>97.058823529411455</v>
      </c>
      <c r="U31" s="259"/>
      <c r="V31" s="382">
        <f>'CCTA Output and Adj Factors'!$B$47*'CCTA Output and Adj Factors'!$F$2</f>
        <v>90</v>
      </c>
      <c r="W31" s="201"/>
      <c r="X31" s="260">
        <f>_xlfn.FORECAST.LINEAR(A31,'CCTA Output and Adj Factors'!$B$5:$D$5,'CCTA Output and Adj Factors'!$B$3:$D$3)*'CCTA Output and Adj Factors'!$F$2</f>
        <v>101779.36090225562</v>
      </c>
      <c r="Y31" s="259"/>
      <c r="Z31" s="260">
        <f>_xlfn.FORECAST.LINEAR(A31,'CCTA Output and Adj Factors'!$B$38:$D$38,'CCTA Output and Adj Factors'!$B$3:$D$3)*'CCTA Output and Adj Factors'!$F$2</f>
        <v>94457.481203007323</v>
      </c>
      <c r="AA31" s="262"/>
      <c r="AB31" s="284">
        <f>_xlfn.FORECAST.LINEAR(A31,'CCTA Output and Adj Factors'!$B$39:$D$39,'CCTA Output and Adj Factors'!$B$3:$D$3)*'CCTA Output and Adj Factors'!$F$2</f>
        <v>816.0902255639154</v>
      </c>
      <c r="AC31" s="261"/>
      <c r="AD31" s="260">
        <f>_xlfn.FORECAST.LINEAR(A31,'CCTA Output and Adj Factors'!$B$40:$D$40,'CCTA Output and Adj Factors'!$B$3:$D$3)*'CCTA Output and Adj Factors'!$F$2</f>
        <v>592.03007518797062</v>
      </c>
      <c r="AE31" s="262">
        <f>AD31+(F31-G31)*'CCTA Output and Adj Factors'!$F$40</f>
        <v>2129.1625939849664</v>
      </c>
      <c r="AF31" s="258">
        <f>_xlfn.FORECAST.LINEAR(A31,'CCTA Output and Adj Factors'!$B$41:$D$41,'CCTA Output and Adj Factors'!$B$3:$D$3)*'CCTA Output and Adj Factors'!$F$2</f>
        <v>5913.759398496235</v>
      </c>
      <c r="AG31" s="261">
        <f>AF31+(F31-G31)*'CCTA Output and Adj Factors'!$F$41</f>
        <v>7450.891917293231</v>
      </c>
      <c r="AH31" s="258">
        <f>_xlfn.FORECAST.LINEAR(A31,'CCTA Output and Adj Factors'!$B$10:$D$10,'CCTA Output and Adj Factors'!$B$3:$D$3)</f>
        <v>181911.52882205555</v>
      </c>
      <c r="AI31" s="259"/>
      <c r="AJ31" s="258">
        <f>_xlfn.FORECAST.LINEAR(A31,'CCTA Output and Adj Factors'!$B$11:$D$11,'CCTA Output and Adj Factors'!$B$3:$D$3)</f>
        <v>240583.20802005008</v>
      </c>
      <c r="AK31" s="259"/>
      <c r="AL31" s="258">
        <f>_xlfn.FORECAST.LINEAR(A31,'CCTA Output and Adj Factors'!$B$12:$D$12,'CCTA Output and Adj Factors'!$B$3:$D$3)</f>
        <v>578109.39849624038</v>
      </c>
      <c r="AM31" s="259"/>
      <c r="AN31" s="258">
        <f>_xlfn.FORECAST.LINEAR(A31,'CCTA Output and Adj Factors'!$B$13:$D$13,'CCTA Output and Adj Factors'!$B$3:$D$3)</f>
        <v>1193546.9924812019</v>
      </c>
      <c r="AO31" s="259"/>
      <c r="AP31" s="258">
        <f>_xlfn.FORECAST.LINEAR(A31,'CCTA Output and Adj Factors'!$B$14:$D$14,'CCTA Output and Adj Factors'!$B$3:$D$3)</f>
        <v>774310.77694235742</v>
      </c>
      <c r="AQ31" s="259"/>
      <c r="AR31" s="258">
        <f>_xlfn.FORECAST.LINEAR(A31,'CCTA Output and Adj Factors'!$B$15:$D$15,'CCTA Output and Adj Factors'!$B$3:$D$3)</f>
        <v>312519.42355889734</v>
      </c>
      <c r="AS31" s="259"/>
      <c r="AT31" s="258">
        <f>_xlfn.FORECAST.LINEAR(A31,'CCTA Output and Adj Factors'!$B$16:$D$16,'CCTA Output and Adj Factors'!$B$3:$D$3)</f>
        <v>111664.03508771933</v>
      </c>
      <c r="AU31" s="259"/>
      <c r="AV31" s="258">
        <f>_xlfn.FORECAST.LINEAR(A31,'CCTA Output and Adj Factors'!$B$60:$D$60,'CCTA Output and Adj Factors'!$B$3:$D$3)*'CCTA Output and Adj Factors'!$F$2</f>
        <v>434457.4812030074</v>
      </c>
      <c r="AW31" s="261">
        <f>AV31*'CCTA Output and Adj Factors'!$F$60</f>
        <v>0</v>
      </c>
      <c r="AX31" s="353">
        <f>_xlfn.FORECAST.LINEAR(A31,'CCTA Output and Adj Factors'!$C$61:$D$61,'CCTA Output and Adj Factors'!$C$3:$D$3)*'CCTA Output and Adj Factors'!$F$2</f>
        <v>382721.37</v>
      </c>
      <c r="AY31" s="261"/>
      <c r="AZ31" s="332">
        <f>_xlfn.FORECAST.LINEAR(A31,'CCTA Output and Adj Factors'!$C$62:$D$62,'CCTA Output and Adj Factors'!$C$3:$D$3)*'CCTA Output and Adj Factors'!$F$2</f>
        <v>816881.37</v>
      </c>
      <c r="BA31" s="262">
        <f>AZ31*'CCTA Output and Adj Factors'!$F$61</f>
        <v>776037.30149999994</v>
      </c>
      <c r="BB31" s="353">
        <v>14739154.222424999</v>
      </c>
      <c r="BC31" s="261">
        <v>12475784.89535</v>
      </c>
      <c r="BD31" s="353">
        <v>524151.99937500001</v>
      </c>
      <c r="BE31" s="261">
        <v>443662.33625000005</v>
      </c>
      <c r="BF31" s="403">
        <f>(AZ31/1000000)*'BCA Constants'!$B$243</f>
        <v>0.55313324830535993</v>
      </c>
      <c r="BG31" s="404">
        <f>(BA31/1000000)*'BCA Constants'!$B$243</f>
        <v>0.52547658589009194</v>
      </c>
      <c r="BH31" s="403">
        <f>(AZ31/1000000)*'BCA Constants'!$B$244</f>
        <v>0.26517276280391999</v>
      </c>
      <c r="BI31" s="404">
        <f>(BA31/1000000)*'BCA Constants'!$B$244</f>
        <v>0.25191412466372398</v>
      </c>
      <c r="BJ31" s="422">
        <f>(AZ31/1000000)*'BCA Constants'!$B$245</f>
        <v>2.5674581459099997E-3</v>
      </c>
      <c r="BK31" s="416">
        <f>(BA31/1000000)*'BCA Constants'!$B$245</f>
        <v>2.4390852386144998E-3</v>
      </c>
      <c r="BL31" s="399">
        <f>(S31-R31)*'BCA Constants'!$B$81*'BCA Constants'!$B$9</f>
        <v>79930.890977443793</v>
      </c>
      <c r="BM31" s="261">
        <f t="shared" si="10"/>
        <v>15758.104985698787</v>
      </c>
      <c r="BN31" s="284">
        <f>(AG31-AF31)*'BCA Constants'!$B$43*'BCA Constants'!$B$9</f>
        <v>2829553.5406015101</v>
      </c>
      <c r="BO31" s="261">
        <f t="shared" si="1"/>
        <v>557836.91649373702</v>
      </c>
      <c r="BP31" s="284">
        <f>(AE31-AD31)*'BCA Constants'!$B$44*'BCA Constants'!$B$9</f>
        <v>2521819.6103383512</v>
      </c>
      <c r="BQ31" s="261">
        <f t="shared" si="2"/>
        <v>497168.21229879663</v>
      </c>
      <c r="BR31" s="284">
        <f t="shared" si="17"/>
        <v>22213.131462863297</v>
      </c>
      <c r="BS31" s="261">
        <f t="shared" si="3"/>
        <v>4379.2437863817613</v>
      </c>
      <c r="BT31" s="284">
        <f t="shared" si="18"/>
        <v>2632.3096356784517</v>
      </c>
      <c r="BU31" s="261">
        <f t="shared" si="4"/>
        <v>518.95094733265432</v>
      </c>
      <c r="BV31" s="284">
        <f t="shared" si="19"/>
        <v>86903.749270415865</v>
      </c>
      <c r="BW31" s="261">
        <f t="shared" si="5"/>
        <v>17132.780429540166</v>
      </c>
      <c r="BX31" s="284">
        <f t="shared" si="20"/>
        <v>331285.69400413334</v>
      </c>
      <c r="BY31" s="261">
        <f t="shared" si="6"/>
        <v>162970.60924728075</v>
      </c>
      <c r="BZ31" s="284">
        <f>(BF31-BG31)*'BCA Constants'!$B$248+('Project Benefit Calculations'!BH31-'Project Benefit Calculations'!BI31)*'BCA Constants'!$B$249+('Project Benefit Calculations'!BJ31-'Project Benefit Calculations'!BK31)*'BCA Constants'!$B$250</f>
        <v>5787.2589084487963</v>
      </c>
      <c r="CA31" s="261">
        <f t="shared" si="0"/>
        <v>1140.9385325692408</v>
      </c>
      <c r="CB31" s="284">
        <f>(AZ31-BA31)*'BCA Constants'!B$30</f>
        <v>18379.830825000023</v>
      </c>
      <c r="CC31" s="261">
        <f t="shared" si="7"/>
        <v>3623.5215223794517</v>
      </c>
      <c r="CD31" s="284">
        <f>(BB31-BC31)*'BCA Constants'!B$13*'CCTA Output and Adj Factors'!$F$50*'CCTA Output and Adj Factors'!$F$2</f>
        <v>1148207.2596251471</v>
      </c>
      <c r="CE31" s="261">
        <f t="shared" si="7"/>
        <v>226365.18023576782</v>
      </c>
      <c r="CF31" s="284">
        <f>(BB31-BC31)*'BCA Constants'!B$15*(1-'CCTA Output and Adj Factors'!$F$50)*'CCTA Output and Adj Factors'!$F$2</f>
        <v>108641.72769960004</v>
      </c>
      <c r="CG31" s="261">
        <f t="shared" ref="CG31" si="33">CF31/(1.07^($A31-$A$7))</f>
        <v>21418.349401373671</v>
      </c>
    </row>
    <row r="32" spans="1:85" x14ac:dyDescent="0.25">
      <c r="A32" s="199">
        <v>2045</v>
      </c>
      <c r="B32" s="200">
        <v>19</v>
      </c>
      <c r="C32" s="301">
        <v>25</v>
      </c>
      <c r="D32" s="258">
        <f>_xlfn.FORECAST.LINEAR(A32,'CCTA Output and Adj Factors'!$B$54:$D$54,'CCTA Output and Adj Factors'!$B$3:$D$3)*'CCTA Output and Adj Factors'!$F$2</f>
        <v>135896.54135338313</v>
      </c>
      <c r="E32" s="310"/>
      <c r="F32" s="258">
        <f>_xlfn.FORECAST.LINEAR(A32,'CCTA Output and Adj Factors'!$B$50:$D$50,'CCTA Output and Adj Factors'!$B$3:$D$3)*'CCTA Output and Adj Factors'!$F$2</f>
        <v>123888.87218045107</v>
      </c>
      <c r="G32" s="295">
        <f>'CCTA Output and Adj Factors'!$F$50*F32</f>
        <v>117694.42857142851</v>
      </c>
      <c r="H32" s="284">
        <f>_xlfn.FORECAST.LINEAR(A32,'CCTA Output and Adj Factors'!$B$51:$D$51,'CCTA Output and Adj Factors'!$B$3:$D$3)*'CCTA Output and Adj Factors'!$F$2</f>
        <v>5263.3834586466246</v>
      </c>
      <c r="I32" s="261"/>
      <c r="J32" s="284">
        <f>_xlfn.FORECAST.LINEAR(A32,'CCTA Output and Adj Factors'!$B$52:$D$52,'CCTA Output and Adj Factors'!$B$3:$D$3)*'CCTA Output and Adj Factors'!$F$2</f>
        <v>693.83458646616543</v>
      </c>
      <c r="K32" s="261"/>
      <c r="L32" s="284">
        <f>_xlfn.FORECAST.LINEAR(A32,'CCTA Output and Adj Factors'!$B$53:$D$53,'CCTA Output and Adj Factors'!$B$3:$D$3)*'CCTA Output and Adj Factors'!$F$2</f>
        <v>6050.4511278195441</v>
      </c>
      <c r="M32" s="295"/>
      <c r="N32" s="258">
        <f>_xlfn.FORECAST.LINEAR(A32,'CCTA Output and Adj Factors'!$B$48:$D$48,'CCTA Output and Adj Factors'!$B$3:$D$3)*'CCTA Output and Adj Factors'!$F$2</f>
        <v>33287.218045112808</v>
      </c>
      <c r="O32" s="259"/>
      <c r="P32" s="258">
        <f>_xlfn.FORECAST.LINEAR(A32,'CCTA Output and Adj Factors'!$B$44:$D$44,'CCTA Output and Adj Factors'!$B$3:$D$3)*'CCTA Output and Adj Factors'!$F$2</f>
        <v>28669.774436090178</v>
      </c>
      <c r="Q32" s="347">
        <f>P32-+(F32-G32)*'CCTA Output and Adj Factors'!$F$45</f>
        <v>25572.552631578896</v>
      </c>
      <c r="R32" s="258">
        <f>_xlfn.FORECAST.LINEAR(A32,'CCTA Output and Adj Factors'!$B$45:$D$45,'CCTA Output and Adj Factors'!$B$3:$D$3)*'CCTA Output and Adj Factors'!$F$2</f>
        <v>4431.0526315789484</v>
      </c>
      <c r="S32" s="347">
        <f>R32+(F32-G32)*'CCTA Output and Adj Factors'!$F$45</f>
        <v>7528.2744360902307</v>
      </c>
      <c r="T32" s="258">
        <f>_xlfn.FORECAST.LINEAR(A32,'CCTA Output and Adj Factors'!$C$46:$D$46,'CCTA Output and Adj Factors'!$C$3:$D$3)*'CCTA Output and Adj Factors'!$F$2</f>
        <v>98.823529411764312</v>
      </c>
      <c r="U32" s="259"/>
      <c r="V32" s="382">
        <f>'CCTA Output and Adj Factors'!$B$47*'CCTA Output and Adj Factors'!$F$2</f>
        <v>90</v>
      </c>
      <c r="W32" s="201"/>
      <c r="X32" s="260">
        <f>_xlfn.FORECAST.LINEAR(A32,'CCTA Output and Adj Factors'!$B$5:$D$5,'CCTA Output and Adj Factors'!$B$3:$D$3)*'CCTA Output and Adj Factors'!$F$2</f>
        <v>102609.32330827072</v>
      </c>
      <c r="Y32" s="259"/>
      <c r="Z32" s="260">
        <f>_xlfn.FORECAST.LINEAR(A32,'CCTA Output and Adj Factors'!$B$38:$D$38,'CCTA Output and Adj Factors'!$B$3:$D$3)*'CCTA Output and Adj Factors'!$F$2</f>
        <v>95219.097744360784</v>
      </c>
      <c r="AA32" s="262"/>
      <c r="AB32" s="284">
        <f>_xlfn.FORECAST.LINEAR(A32,'CCTA Output and Adj Factors'!$B$39:$D$39,'CCTA Output and Adj Factors'!$B$3:$D$3)*'CCTA Output and Adj Factors'!$F$2</f>
        <v>832.33082706766902</v>
      </c>
      <c r="AC32" s="261"/>
      <c r="AD32" s="260">
        <f>_xlfn.FORECAST.LINEAR(A32,'CCTA Output and Adj Factors'!$B$40:$D$40,'CCTA Output and Adj Factors'!$B$3:$D$3)*'CCTA Output and Adj Factors'!$F$2</f>
        <v>597.44360902255687</v>
      </c>
      <c r="AE32" s="262">
        <f>AD32+(F32-G32)*'CCTA Output and Adj Factors'!$F$40</f>
        <v>2146.0545112781979</v>
      </c>
      <c r="AF32" s="258">
        <f>_xlfn.FORECAST.LINEAR(A32,'CCTA Output and Adj Factors'!$B$41:$D$41,'CCTA Output and Adj Factors'!$B$3:$D$3)*'CCTA Output and Adj Factors'!$F$2</f>
        <v>5960.4511278195441</v>
      </c>
      <c r="AG32" s="261">
        <f>AF32+(F32-G32)*'CCTA Output and Adj Factors'!$F$41</f>
        <v>7509.0620300751852</v>
      </c>
      <c r="AH32" s="258">
        <f>_xlfn.FORECAST.LINEAR(A32,'CCTA Output and Adj Factors'!$B$10:$D$10,'CCTA Output and Adj Factors'!$B$3:$D$3)</f>
        <v>183186.71679197997</v>
      </c>
      <c r="AI32" s="259"/>
      <c r="AJ32" s="258">
        <f>_xlfn.FORECAST.LINEAR(A32,'CCTA Output and Adj Factors'!$B$11:$D$11,'CCTA Output and Adj Factors'!$B$3:$D$3)</f>
        <v>242260.65162907261</v>
      </c>
      <c r="AK32" s="259"/>
      <c r="AL32" s="258">
        <f>_xlfn.FORECAST.LINEAR(A32,'CCTA Output and Adj Factors'!$B$12:$D$12,'CCTA Output and Adj Factors'!$B$3:$D$3)</f>
        <v>581851.12781954836</v>
      </c>
      <c r="AM32" s="259"/>
      <c r="AN32" s="258">
        <f>_xlfn.FORECAST.LINEAR(A32,'CCTA Output and Adj Factors'!$B$13:$D$13,'CCTA Output and Adj Factors'!$B$3:$D$3)</f>
        <v>1203255.6390977465</v>
      </c>
      <c r="AO32" s="259"/>
      <c r="AP32" s="258">
        <f>_xlfn.FORECAST.LINEAR(A32,'CCTA Output and Adj Factors'!$B$14:$D$14,'CCTA Output and Adj Factors'!$B$3:$D$3)</f>
        <v>781850.62656641752</v>
      </c>
      <c r="AQ32" s="259"/>
      <c r="AR32" s="258">
        <f>_xlfn.FORECAST.LINEAR(A32,'CCTA Output and Adj Factors'!$B$15:$D$15,'CCTA Output and Adj Factors'!$B$3:$D$3)</f>
        <v>315165.66416040063</v>
      </c>
      <c r="AS32" s="259"/>
      <c r="AT32" s="258">
        <f>_xlfn.FORECAST.LINEAR(A32,'CCTA Output and Adj Factors'!$B$16:$D$16,'CCTA Output and Adj Factors'!$B$3:$D$3)</f>
        <v>112740.35087719304</v>
      </c>
      <c r="AU32" s="259"/>
      <c r="AV32" s="258">
        <f>_xlfn.FORECAST.LINEAR(A32,'CCTA Output and Adj Factors'!$B$60:$D$60,'CCTA Output and Adj Factors'!$B$3:$D$3)*'CCTA Output and Adj Factors'!$F$2</f>
        <v>437979.09774436086</v>
      </c>
      <c r="AW32" s="261">
        <f>AV32*'CCTA Output and Adj Factors'!$F$60</f>
        <v>0</v>
      </c>
      <c r="AX32" s="353">
        <f>_xlfn.FORECAST.LINEAR(A32,'CCTA Output and Adj Factors'!$C$61:$D$61,'CCTA Output and Adj Factors'!$C$3:$D$3)*'CCTA Output and Adj Factors'!$F$2</f>
        <v>385256.97</v>
      </c>
      <c r="AY32" s="261"/>
      <c r="AZ32" s="332">
        <f>_xlfn.FORECAST.LINEAR(A32,'CCTA Output and Adj Factors'!$C$62:$D$62,'CCTA Output and Adj Factors'!$C$3:$D$3)*'CCTA Output and Adj Factors'!$F$2</f>
        <v>822896.97</v>
      </c>
      <c r="BA32" s="262">
        <f>AZ32*'CCTA Output and Adj Factors'!$F$61</f>
        <v>781752.12149999989</v>
      </c>
      <c r="BB32" s="353">
        <v>15081968.991350001</v>
      </c>
      <c r="BC32" s="261">
        <v>12804824.3617</v>
      </c>
      <c r="BD32" s="353">
        <v>536343.13624999998</v>
      </c>
      <c r="BE32" s="261">
        <v>455363.59750000003</v>
      </c>
      <c r="BF32" s="403">
        <f>(AZ32/1000000)*'BCA Constants'!$B$243</f>
        <v>0.5572065795021599</v>
      </c>
      <c r="BG32" s="404">
        <f>(BA32/1000000)*'BCA Constants'!$B$243</f>
        <v>0.52934625052705186</v>
      </c>
      <c r="BH32" s="403">
        <f>(AZ32/1000000)*'BCA Constants'!$B$244</f>
        <v>0.26712552281351998</v>
      </c>
      <c r="BI32" s="404">
        <f>(BA32/1000000)*'BCA Constants'!$B$244</f>
        <v>0.25376924667284395</v>
      </c>
      <c r="BJ32" s="422">
        <f>(AZ32/1000000)*'BCA Constants'!$B$245</f>
        <v>2.5863651767099997E-3</v>
      </c>
      <c r="BK32" s="416">
        <f>(BA32/1000000)*'BCA Constants'!$B$245</f>
        <v>2.4570469178744996E-3</v>
      </c>
      <c r="BL32" s="399">
        <f>(S32-R32)*'BCA Constants'!$B$81*'BCA Constants'!$B$9</f>
        <v>80527.766917293338</v>
      </c>
      <c r="BM32" s="261">
        <f t="shared" si="10"/>
        <v>14837.174822213912</v>
      </c>
      <c r="BN32" s="284">
        <f>(AG32-AF32)*'BCA Constants'!$B$43*'BCA Constants'!$B$9</f>
        <v>2850682.9488721839</v>
      </c>
      <c r="BO32" s="261">
        <f t="shared" si="1"/>
        <v>525235.98870637245</v>
      </c>
      <c r="BP32" s="284">
        <f>(AE32-AD32)*'BCA Constants'!$B$44*'BCA Constants'!$B$9</f>
        <v>2540651.0462406045</v>
      </c>
      <c r="BQ32" s="261">
        <f t="shared" si="2"/>
        <v>468112.86564084888</v>
      </c>
      <c r="BR32" s="284">
        <f t="shared" si="17"/>
        <v>22611.352540364256</v>
      </c>
      <c r="BS32" s="261">
        <f t="shared" si="3"/>
        <v>4166.1231082275162</v>
      </c>
      <c r="BT32" s="284">
        <f t="shared" si="18"/>
        <v>2680.2919880899426</v>
      </c>
      <c r="BU32" s="261">
        <f t="shared" si="4"/>
        <v>493.84159432502025</v>
      </c>
      <c r="BV32" s="284">
        <f t="shared" si="19"/>
        <v>88394.88358858088</v>
      </c>
      <c r="BW32" s="261">
        <f t="shared" si="5"/>
        <v>16286.684598370141</v>
      </c>
      <c r="BX32" s="284">
        <f t="shared" si="20"/>
        <v>337630.7751826141</v>
      </c>
      <c r="BY32" s="261">
        <f t="shared" si="6"/>
        <v>161254.33858134784</v>
      </c>
      <c r="BZ32" s="284">
        <f>(BF32-BG32)*'BCA Constants'!$B$248+('Project Benefit Calculations'!BH32-'Project Benefit Calculations'!BI32)*'BCA Constants'!$B$249+('Project Benefit Calculations'!BJ32-'Project Benefit Calculations'!BK32)*'BCA Constants'!$B$250</f>
        <v>5829.8768894289124</v>
      </c>
      <c r="CA32" s="261">
        <f t="shared" si="0"/>
        <v>1074.1500219331895</v>
      </c>
      <c r="CB32" s="284">
        <f>(AZ32-BA32)*'BCA Constants'!B$30</f>
        <v>18515.181825000036</v>
      </c>
      <c r="CC32" s="261">
        <f t="shared" si="7"/>
        <v>3411.4070229309755</v>
      </c>
      <c r="CD32" s="284">
        <f>(BB32-BC32)*'BCA Constants'!B$13*'CCTA Output and Adj Factors'!$F$50*'CCTA Output and Adj Factors'!$F$2</f>
        <v>1155195.4706214452</v>
      </c>
      <c r="CE32" s="261">
        <f t="shared" si="7"/>
        <v>212843.81533941775</v>
      </c>
      <c r="CF32" s="284">
        <f>(BB32-BC32)*'BCA Constants'!B$15*(1-'CCTA Output and Adj Factors'!$F$50)*'CCTA Output and Adj Factors'!$F$2</f>
        <v>109302.94222320011</v>
      </c>
      <c r="CG32" s="261">
        <f t="shared" ref="CG32" si="34">CF32/(1.07^($A32-$A$7))</f>
        <v>20138.977205385494</v>
      </c>
    </row>
    <row r="33" spans="1:85" x14ac:dyDescent="0.25">
      <c r="A33" s="204">
        <v>2046</v>
      </c>
      <c r="B33" s="200">
        <v>20</v>
      </c>
      <c r="C33" s="301">
        <v>26</v>
      </c>
      <c r="D33" s="258">
        <f>_xlfn.FORECAST.LINEAR(A33,'CCTA Output and Adj Factors'!$B$54:$D$54,'CCTA Output and Adj Factors'!$B$3:$D$3)*'CCTA Output and Adj Factors'!$F$2</f>
        <v>136918.57142857095</v>
      </c>
      <c r="E33" s="310"/>
      <c r="F33" s="258">
        <f>_xlfn.FORECAST.LINEAR(A33,'CCTA Output and Adj Factors'!$B$50:$D$50,'CCTA Output and Adj Factors'!$B$3:$D$3)*'CCTA Output and Adj Factors'!$F$2</f>
        <v>124807.1428571429</v>
      </c>
      <c r="G33" s="295">
        <f>'CCTA Output and Adj Factors'!$F$50*F33</f>
        <v>118566.78571428575</v>
      </c>
      <c r="H33" s="284">
        <f>_xlfn.FORECAST.LINEAR(A33,'CCTA Output and Adj Factors'!$B$51:$D$51,'CCTA Output and Adj Factors'!$B$3:$D$3)*'CCTA Output and Adj Factors'!$F$2</f>
        <v>5313.5714285714412</v>
      </c>
      <c r="I33" s="261"/>
      <c r="J33" s="284">
        <f>_xlfn.FORECAST.LINEAR(A33,'CCTA Output and Adj Factors'!$B$52:$D$52,'CCTA Output and Adj Factors'!$B$3:$D$3)*'CCTA Output and Adj Factors'!$F$2</f>
        <v>700.71428571428521</v>
      </c>
      <c r="K33" s="261"/>
      <c r="L33" s="284">
        <f>_xlfn.FORECAST.LINEAR(A33,'CCTA Output and Adj Factors'!$B$53:$D$53,'CCTA Output and Adj Factors'!$B$3:$D$3)*'CCTA Output and Adj Factors'!$F$2</f>
        <v>6097.1428571428542</v>
      </c>
      <c r="M33" s="295"/>
      <c r="N33" s="258">
        <f>_xlfn.FORECAST.LINEAR(A33,'CCTA Output and Adj Factors'!$B$48:$D$48,'CCTA Output and Adj Factors'!$B$3:$D$3)*'CCTA Output and Adj Factors'!$F$2</f>
        <v>33479.285714285761</v>
      </c>
      <c r="O33" s="259"/>
      <c r="P33" s="258">
        <f>_xlfn.FORECAST.LINEAR(A33,'CCTA Output and Adj Factors'!$B$44:$D$44,'CCTA Output and Adj Factors'!$B$3:$D$3)*'CCTA Output and Adj Factors'!$F$2</f>
        <v>28826.428571428543</v>
      </c>
      <c r="Q33" s="347">
        <f>P33-+(F33-G33)*'CCTA Output and Adj Factors'!$F$45</f>
        <v>25706.249999999971</v>
      </c>
      <c r="R33" s="258">
        <f>_xlfn.FORECAST.LINEAR(A33,'CCTA Output and Adj Factors'!$B$45:$D$45,'CCTA Output and Adj Factors'!$B$3:$D$3)*'CCTA Output and Adj Factors'!$F$2</f>
        <v>4465.0000000000045</v>
      </c>
      <c r="S33" s="347">
        <f>R33+(F33-G33)*'CCTA Output and Adj Factors'!$F$45</f>
        <v>7585.178571428577</v>
      </c>
      <c r="T33" s="258">
        <f>_xlfn.FORECAST.LINEAR(A33,'CCTA Output and Adj Factors'!$C$46:$D$46,'CCTA Output and Adj Factors'!$C$3:$D$3)*'CCTA Output and Adj Factors'!$F$2</f>
        <v>100.58823529411762</v>
      </c>
      <c r="U33" s="259"/>
      <c r="V33" s="382">
        <f>'CCTA Output and Adj Factors'!$B$47*'CCTA Output and Adj Factors'!$F$2</f>
        <v>90</v>
      </c>
      <c r="W33" s="201"/>
      <c r="X33" s="260">
        <f>_xlfn.FORECAST.LINEAR(A33,'CCTA Output and Adj Factors'!$B$5:$D$5,'CCTA Output and Adj Factors'!$B$3:$D$3)*'CCTA Output and Adj Factors'!$F$2</f>
        <v>103439.28571428581</v>
      </c>
      <c r="Y33" s="259"/>
      <c r="Z33" s="260">
        <f>_xlfn.FORECAST.LINEAR(A33,'CCTA Output and Adj Factors'!$B$38:$D$38,'CCTA Output and Adj Factors'!$B$3:$D$3)*'CCTA Output and Adj Factors'!$F$2</f>
        <v>95980.714285714246</v>
      </c>
      <c r="AA33" s="262"/>
      <c r="AB33" s="284">
        <f>_xlfn.FORECAST.LINEAR(A33,'CCTA Output and Adj Factors'!$B$39:$D$39,'CCTA Output and Adj Factors'!$B$3:$D$3)*'CCTA Output and Adj Factors'!$F$2</f>
        <v>848.57142857142958</v>
      </c>
      <c r="AC33" s="261"/>
      <c r="AD33" s="260">
        <f>_xlfn.FORECAST.LINEAR(A33,'CCTA Output and Adj Factors'!$B$40:$D$40,'CCTA Output and Adj Factors'!$B$3:$D$3)*'CCTA Output and Adj Factors'!$F$2</f>
        <v>602.85714285714312</v>
      </c>
      <c r="AE33" s="262">
        <f>AD33+(F33-G33)*'CCTA Output and Adj Factors'!$F$40</f>
        <v>2162.9464285714294</v>
      </c>
      <c r="AF33" s="258">
        <f>_xlfn.FORECAST.LINEAR(A33,'CCTA Output and Adj Factors'!$B$41:$D$41,'CCTA Output and Adj Factors'!$B$3:$D$3)*'CCTA Output and Adj Factors'!$F$2</f>
        <v>6007.1428571428542</v>
      </c>
      <c r="AG33" s="261">
        <f>AF33+(F33-G33)*'CCTA Output and Adj Factors'!$F$41</f>
        <v>7567.2321428571404</v>
      </c>
      <c r="AH33" s="258">
        <f>_xlfn.FORECAST.LINEAR(A33,'CCTA Output and Adj Factors'!$B$10:$D$10,'CCTA Output and Adj Factors'!$B$3:$D$3)</f>
        <v>184461.90476190485</v>
      </c>
      <c r="AI33" s="259"/>
      <c r="AJ33" s="258">
        <f>_xlfn.FORECAST.LINEAR(A33,'CCTA Output and Adj Factors'!$B$11:$D$11,'CCTA Output and Adj Factors'!$B$3:$D$3)</f>
        <v>243938.09523809515</v>
      </c>
      <c r="AK33" s="259"/>
      <c r="AL33" s="258">
        <f>_xlfn.FORECAST.LINEAR(A33,'CCTA Output and Adj Factors'!$B$12:$D$12,'CCTA Output and Adj Factors'!$B$3:$D$3)</f>
        <v>585592.85714285634</v>
      </c>
      <c r="AM33" s="259"/>
      <c r="AN33" s="258">
        <f>_xlfn.FORECAST.LINEAR(A33,'CCTA Output and Adj Factors'!$B$13:$D$13,'CCTA Output and Adj Factors'!$B$3:$D$3)</f>
        <v>1212964.2857142873</v>
      </c>
      <c r="AO33" s="259"/>
      <c r="AP33" s="258">
        <f>_xlfn.FORECAST.LINEAR(A33,'CCTA Output and Adj Factors'!$B$14:$D$14,'CCTA Output and Adj Factors'!$B$3:$D$3)</f>
        <v>789390.47619047761</v>
      </c>
      <c r="AQ33" s="259"/>
      <c r="AR33" s="258">
        <f>_xlfn.FORECAST.LINEAR(A33,'CCTA Output and Adj Factors'!$B$15:$D$15,'CCTA Output and Adj Factors'!$B$3:$D$3)</f>
        <v>317811.90476190485</v>
      </c>
      <c r="AS33" s="259"/>
      <c r="AT33" s="258">
        <f>_xlfn.FORECAST.LINEAR(A33,'CCTA Output and Adj Factors'!$B$16:$D$16,'CCTA Output and Adj Factors'!$B$3:$D$3)</f>
        <v>113816.66666666674</v>
      </c>
      <c r="AU33" s="259"/>
      <c r="AV33" s="258">
        <f>_xlfn.FORECAST.LINEAR(A33,'CCTA Output and Adj Factors'!$B$60:$D$60,'CCTA Output and Adj Factors'!$B$3:$D$3)*'CCTA Output and Adj Factors'!$F$2</f>
        <v>441500.71428571432</v>
      </c>
      <c r="AW33" s="261">
        <f>AV33*'CCTA Output and Adj Factors'!$F$60</f>
        <v>0</v>
      </c>
      <c r="AX33" s="353">
        <f>_xlfn.FORECAST.LINEAR(A33,'CCTA Output and Adj Factors'!$C$61:$D$61,'CCTA Output and Adj Factors'!$C$3:$D$3)*'CCTA Output and Adj Factors'!$F$2</f>
        <v>387792.57</v>
      </c>
      <c r="AY33" s="261"/>
      <c r="AZ33" s="332">
        <f>_xlfn.FORECAST.LINEAR(A33,'CCTA Output and Adj Factors'!$C$62:$D$62,'CCTA Output and Adj Factors'!$C$3:$D$3)*'CCTA Output and Adj Factors'!$F$2</f>
        <v>828912.57</v>
      </c>
      <c r="BA33" s="262">
        <f>AZ33*'CCTA Output and Adj Factors'!$F$61</f>
        <v>787466.94149999996</v>
      </c>
      <c r="BB33" s="353">
        <v>15424783.760275001</v>
      </c>
      <c r="BC33" s="261">
        <v>13133863.828050002</v>
      </c>
      <c r="BD33" s="353">
        <v>548534.27312500007</v>
      </c>
      <c r="BE33" s="261">
        <v>467064.85875000013</v>
      </c>
      <c r="BF33" s="403">
        <f>(AZ33/1000000)*'BCA Constants'!$B$243</f>
        <v>0.56127991069895988</v>
      </c>
      <c r="BG33" s="404">
        <f>(BA33/1000000)*'BCA Constants'!$B$243</f>
        <v>0.5332159151640119</v>
      </c>
      <c r="BH33" s="403">
        <f>(AZ33/1000000)*'BCA Constants'!$B$244</f>
        <v>0.26907828282312002</v>
      </c>
      <c r="BI33" s="404">
        <f>(BA33/1000000)*'BCA Constants'!$B$244</f>
        <v>0.25562436868196398</v>
      </c>
      <c r="BJ33" s="422">
        <f>(AZ33/1000000)*'BCA Constants'!$B$245</f>
        <v>2.6052722075099997E-3</v>
      </c>
      <c r="BK33" s="416">
        <f>(BA33/1000000)*'BCA Constants'!$B$245</f>
        <v>2.4750085971344997E-3</v>
      </c>
      <c r="BL33" s="399">
        <f>(S33-R33)*'BCA Constants'!$B$81*'BCA Constants'!$B$9</f>
        <v>81124.642857142899</v>
      </c>
      <c r="BM33" s="261">
        <f t="shared" si="10"/>
        <v>13969.297872162624</v>
      </c>
      <c r="BN33" s="284">
        <f>(AG33-AF33)*'BCA Constants'!$B$43*'BCA Constants'!$B$9</f>
        <v>2871812.3571428582</v>
      </c>
      <c r="BO33" s="261">
        <f t="shared" si="1"/>
        <v>494513.14467455685</v>
      </c>
      <c r="BP33" s="284">
        <f>(AE33-AD33)*'BCA Constants'!$B$44*'BCA Constants'!$B$9</f>
        <v>2559482.4821428582</v>
      </c>
      <c r="BQ33" s="261">
        <f t="shared" si="2"/>
        <v>440731.34786673076</v>
      </c>
      <c r="BR33" s="284">
        <f t="shared" si="17"/>
        <v>23009.573617865215</v>
      </c>
      <c r="BS33" s="261">
        <f t="shared" si="3"/>
        <v>3962.1448731112978</v>
      </c>
      <c r="BT33" s="284">
        <f t="shared" si="18"/>
        <v>2728.274340501448</v>
      </c>
      <c r="BU33" s="261">
        <f t="shared" si="4"/>
        <v>469.7965451331051</v>
      </c>
      <c r="BV33" s="284">
        <f t="shared" si="19"/>
        <v>89886.017906745896</v>
      </c>
      <c r="BW33" s="261">
        <f t="shared" si="5"/>
        <v>15477.967168287132</v>
      </c>
      <c r="BX33" s="284">
        <f t="shared" si="20"/>
        <v>343975.856361093</v>
      </c>
      <c r="BY33" s="261">
        <f t="shared" si="6"/>
        <v>159499.79096078317</v>
      </c>
      <c r="BZ33" s="284">
        <f>(BF33-BG33)*'BCA Constants'!$B$248+('Project Benefit Calculations'!BH33-'Project Benefit Calculations'!BI33)*'BCA Constants'!$B$249+('Project Benefit Calculations'!BJ33-'Project Benefit Calculations'!BK33)*'BCA Constants'!$B$250</f>
        <v>5872.494870409022</v>
      </c>
      <c r="CA33" s="261">
        <f t="shared" si="0"/>
        <v>1011.2171494172273</v>
      </c>
      <c r="CB33" s="284">
        <f>(AZ33-BA33)*'BCA Constants'!B$30</f>
        <v>18650.532824999998</v>
      </c>
      <c r="CC33" s="261">
        <f t="shared" si="7"/>
        <v>3211.5376947268987</v>
      </c>
      <c r="CD33" s="284">
        <f>(BB33-BC33)*'BCA Constants'!B$13*'CCTA Output and Adj Factors'!$F$50*'CCTA Output and Adj Factors'!$F$2</f>
        <v>1162183.6816177415</v>
      </c>
      <c r="CE33" s="261">
        <f t="shared" si="7"/>
        <v>200122.7920260161</v>
      </c>
      <c r="CF33" s="284">
        <f>(BB33-BC33)*'BCA Constants'!B$15*(1-'CCTA Output and Adj Factors'!$F$50)*'CCTA Output and Adj Factors'!$F$2</f>
        <v>109964.15674680001</v>
      </c>
      <c r="CG33" s="261">
        <f t="shared" ref="CG33" si="35">CF33/(1.07^($A33-$A$7))</f>
        <v>18935.332184602372</v>
      </c>
    </row>
    <row r="34" spans="1:85" x14ac:dyDescent="0.25">
      <c r="A34" s="204">
        <v>2047</v>
      </c>
      <c r="B34" s="205">
        <v>21</v>
      </c>
      <c r="C34" s="302">
        <v>27</v>
      </c>
      <c r="D34" s="258">
        <f>_xlfn.FORECAST.LINEAR(A34,'CCTA Output and Adj Factors'!$B$54:$D$54,'CCTA Output and Adj Factors'!$B$3:$D$3)*'CCTA Output and Adj Factors'!$F$2</f>
        <v>137940.60150375924</v>
      </c>
      <c r="E34" s="311"/>
      <c r="F34" s="258">
        <f>_xlfn.FORECAST.LINEAR(A34,'CCTA Output and Adj Factors'!$B$50:$D$50,'CCTA Output and Adj Factors'!$B$3:$D$3)*'CCTA Output and Adj Factors'!$F$2</f>
        <v>125725.41353383451</v>
      </c>
      <c r="G34" s="295">
        <f>'CCTA Output and Adj Factors'!$F$50*F34</f>
        <v>119439.14285714278</v>
      </c>
      <c r="H34" s="284">
        <f>_xlfn.FORECAST.LINEAR(A34,'CCTA Output and Adj Factors'!$B$51:$D$51,'CCTA Output and Adj Factors'!$B$3:$D$3)*'CCTA Output and Adj Factors'!$F$2</f>
        <v>5363.7593984962441</v>
      </c>
      <c r="I34" s="261"/>
      <c r="J34" s="284">
        <f>_xlfn.FORECAST.LINEAR(A34,'CCTA Output and Adj Factors'!$B$52:$D$52,'CCTA Output and Adj Factors'!$B$3:$D$3)*'CCTA Output and Adj Factors'!$F$2</f>
        <v>707.59398496240669</v>
      </c>
      <c r="K34" s="261"/>
      <c r="L34" s="284">
        <f>_xlfn.FORECAST.LINEAR(A34,'CCTA Output and Adj Factors'!$B$53:$D$53,'CCTA Output and Adj Factors'!$B$3:$D$3)*'CCTA Output and Adj Factors'!$F$2</f>
        <v>6143.8345864661642</v>
      </c>
      <c r="M34" s="295"/>
      <c r="N34" s="258">
        <f>_xlfn.FORECAST.LINEAR(A34,'CCTA Output and Adj Factors'!$B$48:$D$48,'CCTA Output and Adj Factors'!$B$3:$D$3)*'CCTA Output and Adj Factors'!$F$2</f>
        <v>33671.353383458663</v>
      </c>
      <c r="O34" s="261"/>
      <c r="P34" s="258">
        <f>_xlfn.FORECAST.LINEAR(A34,'CCTA Output and Adj Factors'!$B$44:$D$44,'CCTA Output and Adj Factors'!$B$3:$D$3)*'CCTA Output and Adj Factors'!$F$2</f>
        <v>28983.082706766854</v>
      </c>
      <c r="Q34" s="347">
        <f>P34-+(F34-G34)*'CCTA Output and Adj Factors'!$F$45</f>
        <v>25839.947368420992</v>
      </c>
      <c r="R34" s="258">
        <f>_xlfn.FORECAST.LINEAR(A34,'CCTA Output and Adj Factors'!$B$45:$D$45,'CCTA Output and Adj Factors'!$B$3:$D$3)*'CCTA Output and Adj Factors'!$F$2</f>
        <v>4498.947368421047</v>
      </c>
      <c r="S34" s="347">
        <f>R34+(F34-G34)*'CCTA Output and Adj Factors'!$F$45</f>
        <v>7642.0827067669097</v>
      </c>
      <c r="T34" s="258">
        <f>_xlfn.FORECAST.LINEAR(A34,'CCTA Output and Adj Factors'!$C$46:$D$46,'CCTA Output and Adj Factors'!$C$3:$D$3)*'CCTA Output and Adj Factors'!$F$2</f>
        <v>102.35294117647048</v>
      </c>
      <c r="U34" s="261"/>
      <c r="V34" s="382">
        <f>'CCTA Output and Adj Factors'!$B$47*'CCTA Output and Adj Factors'!$F$2</f>
        <v>90</v>
      </c>
      <c r="W34" s="206"/>
      <c r="X34" s="260">
        <f>_xlfn.FORECAST.LINEAR(A34,'CCTA Output and Adj Factors'!$B$5:$D$5,'CCTA Output and Adj Factors'!$B$3:$D$3)*'CCTA Output and Adj Factors'!$F$2</f>
        <v>104269.24812030069</v>
      </c>
      <c r="Y34" s="261"/>
      <c r="Z34" s="260">
        <f>_xlfn.FORECAST.LINEAR(A34,'CCTA Output and Adj Factors'!$B$38:$D$38,'CCTA Output and Adj Factors'!$B$3:$D$3)*'CCTA Output and Adj Factors'!$F$2</f>
        <v>96742.33082706749</v>
      </c>
      <c r="AA34" s="262"/>
      <c r="AB34" s="284">
        <f>_xlfn.FORECAST.LINEAR(A34,'CCTA Output and Adj Factors'!$B$39:$D$39,'CCTA Output and Adj Factors'!$B$3:$D$3)*'CCTA Output and Adj Factors'!$F$2</f>
        <v>864.81203007519014</v>
      </c>
      <c r="AC34" s="261"/>
      <c r="AD34" s="260">
        <f>_xlfn.FORECAST.LINEAR(A34,'CCTA Output and Adj Factors'!$B$40:$D$40,'CCTA Output and Adj Factors'!$B$3:$D$3)*'CCTA Output and Adj Factors'!$F$2</f>
        <v>608.27067669172948</v>
      </c>
      <c r="AE34" s="262">
        <f>AD34+(F34-G34)*'CCTA Output and Adj Factors'!$F$40</f>
        <v>2179.8383458646608</v>
      </c>
      <c r="AF34" s="258">
        <f>_xlfn.FORECAST.LINEAR(A34,'CCTA Output and Adj Factors'!$B$41:$D$41,'CCTA Output and Adj Factors'!$B$3:$D$3)*'CCTA Output and Adj Factors'!$F$2</f>
        <v>6053.8345864661642</v>
      </c>
      <c r="AG34" s="261">
        <f>AF34+(F34-G34)*'CCTA Output and Adj Factors'!$F$41</f>
        <v>7625.4022556390955</v>
      </c>
      <c r="AH34" s="258">
        <f>_xlfn.FORECAST.LINEAR(A34,'CCTA Output and Adj Factors'!$B$10:$D$10,'CCTA Output and Adj Factors'!$B$3:$D$3)</f>
        <v>185737.09273182973</v>
      </c>
      <c r="AI34" s="261"/>
      <c r="AJ34" s="258">
        <f>_xlfn.FORECAST.LINEAR(A34,'CCTA Output and Adj Factors'!$B$11:$D$11,'CCTA Output and Adj Factors'!$B$3:$D$3)</f>
        <v>245615.53884711768</v>
      </c>
      <c r="AK34" s="261"/>
      <c r="AL34" s="258">
        <f>_xlfn.FORECAST.LINEAR(A34,'CCTA Output and Adj Factors'!$B$12:$D$12,'CCTA Output and Adj Factors'!$B$3:$D$3)</f>
        <v>589334.58646616526</v>
      </c>
      <c r="AM34" s="261"/>
      <c r="AN34" s="258">
        <f>_xlfn.FORECAST.LINEAR(A34,'CCTA Output and Adj Factors'!$B$13:$D$13,'CCTA Output and Adj Factors'!$B$3:$D$3)</f>
        <v>1222672.9323308282</v>
      </c>
      <c r="AO34" s="261"/>
      <c r="AP34" s="258">
        <f>_xlfn.FORECAST.LINEAR(A34,'CCTA Output and Adj Factors'!$B$14:$D$14,'CCTA Output and Adj Factors'!$B$3:$D$3)</f>
        <v>796930.3258145377</v>
      </c>
      <c r="AQ34" s="261"/>
      <c r="AR34" s="258">
        <f>_xlfn.FORECAST.LINEAR(A34,'CCTA Output and Adj Factors'!$B$15:$D$15,'CCTA Output and Adj Factors'!$B$3:$D$3)</f>
        <v>320458.14536340814</v>
      </c>
      <c r="AS34" s="261"/>
      <c r="AT34" s="258">
        <f>_xlfn.FORECAST.LINEAR(A34,'CCTA Output and Adj Factors'!$B$16:$D$16,'CCTA Output and Adj Factors'!$B$3:$D$3)</f>
        <v>114892.98245614045</v>
      </c>
      <c r="AU34" s="261"/>
      <c r="AV34" s="258">
        <f>_xlfn.FORECAST.LINEAR(A34,'CCTA Output and Adj Factors'!$B$60:$D$60,'CCTA Output and Adj Factors'!$B$3:$D$3)*'CCTA Output and Adj Factors'!$F$2</f>
        <v>445022.33082706778</v>
      </c>
      <c r="AW34" s="261">
        <f>AV34*'CCTA Output and Adj Factors'!$F$60</f>
        <v>0</v>
      </c>
      <c r="AX34" s="353">
        <f>_xlfn.FORECAST.LINEAR(A34,'CCTA Output and Adj Factors'!$C$61:$D$61,'CCTA Output and Adj Factors'!$C$3:$D$3)*'CCTA Output and Adj Factors'!$F$2</f>
        <v>390328.17</v>
      </c>
      <c r="AY34" s="261"/>
      <c r="AZ34" s="332">
        <f>_xlfn.FORECAST.LINEAR(A34,'CCTA Output and Adj Factors'!$C$62:$D$62,'CCTA Output and Adj Factors'!$C$3:$D$3)*'CCTA Output and Adj Factors'!$F$2</f>
        <v>834928.16999999993</v>
      </c>
      <c r="BA34" s="262">
        <f>AZ34*'CCTA Output and Adj Factors'!$F$61</f>
        <v>793181.76149999991</v>
      </c>
      <c r="BB34" s="353">
        <v>15767598.529200001</v>
      </c>
      <c r="BC34" s="261">
        <v>13462903.294399999</v>
      </c>
      <c r="BD34" s="353">
        <v>560725.41</v>
      </c>
      <c r="BE34" s="261">
        <v>478766.12000000005</v>
      </c>
      <c r="BF34" s="403">
        <f>(AZ34/1000000)*'BCA Constants'!$B$243</f>
        <v>0.56535324189575997</v>
      </c>
      <c r="BG34" s="404">
        <f>(BA34/1000000)*'BCA Constants'!$B$243</f>
        <v>0.53708557980097182</v>
      </c>
      <c r="BH34" s="403">
        <f>(AZ34/1000000)*'BCA Constants'!$B$244</f>
        <v>0.27103104283272</v>
      </c>
      <c r="BI34" s="404">
        <f>(BA34/1000000)*'BCA Constants'!$B$244</f>
        <v>0.25747949069108395</v>
      </c>
      <c r="BJ34" s="422">
        <f>(AZ34/1000000)*'BCA Constants'!$B$245</f>
        <v>2.6241792383099997E-3</v>
      </c>
      <c r="BK34" s="416">
        <f>(BA34/1000000)*'BCA Constants'!$B$245</f>
        <v>2.4929702763944995E-3</v>
      </c>
      <c r="BL34" s="399">
        <f>(S34-R34)*'BCA Constants'!$B$81*'BCA Constants'!$B$9</f>
        <v>81721.51879699243</v>
      </c>
      <c r="BM34" s="261">
        <f t="shared" si="10"/>
        <v>13151.474036347363</v>
      </c>
      <c r="BN34" s="284">
        <f>(AG34-AF34)*'BCA Constants'!$B$43*'BCA Constants'!$B$9</f>
        <v>2892941.765413532</v>
      </c>
      <c r="BO34" s="261">
        <f t="shared" si="1"/>
        <v>465562.18088669662</v>
      </c>
      <c r="BP34" s="284">
        <f>(AE34-AD34)*'BCA Constants'!$B$44*'BCA Constants'!$B$9</f>
        <v>2578313.918045111</v>
      </c>
      <c r="BQ34" s="261">
        <f t="shared" si="2"/>
        <v>414929.00584675925</v>
      </c>
      <c r="BR34" s="284">
        <f t="shared" si="17"/>
        <v>23407.79469536629</v>
      </c>
      <c r="BS34" s="261">
        <f t="shared" si="3"/>
        <v>3767.0249980178887</v>
      </c>
      <c r="BT34" s="284">
        <f t="shared" si="18"/>
        <v>2776.2566929129389</v>
      </c>
      <c r="BU34" s="261">
        <f t="shared" si="4"/>
        <v>446.78400931070121</v>
      </c>
      <c r="BV34" s="284">
        <f t="shared" si="19"/>
        <v>91377.152224911377</v>
      </c>
      <c r="BW34" s="261">
        <f t="shared" si="5"/>
        <v>14705.358670420477</v>
      </c>
      <c r="BX34" s="284">
        <f t="shared" si="20"/>
        <v>350320.93753957376</v>
      </c>
      <c r="BY34" s="261">
        <f t="shared" si="6"/>
        <v>157710.65208583884</v>
      </c>
      <c r="BZ34" s="284">
        <f>(BF34-BG34)*'BCA Constants'!$B$248+('Project Benefit Calculations'!BH34-'Project Benefit Calculations'!BI34)*'BCA Constants'!$B$249+('Project Benefit Calculations'!BJ34-'Project Benefit Calculations'!BK34)*'BCA Constants'!$B$250</f>
        <v>5915.1128513891399</v>
      </c>
      <c r="CA34" s="261">
        <f t="shared" si="0"/>
        <v>951.92128379743053</v>
      </c>
      <c r="CB34" s="284">
        <f>(AZ34-BA34)*'BCA Constants'!B$30</f>
        <v>18785.883825000008</v>
      </c>
      <c r="CC34" s="261">
        <f t="shared" si="7"/>
        <v>3023.2191840200849</v>
      </c>
      <c r="CD34" s="284">
        <f>(BB34-BC34)*'BCA Constants'!B$13*'CCTA Output and Adj Factors'!$F$50*'CCTA Output and Adj Factors'!$F$2</f>
        <v>1169171.8926140408</v>
      </c>
      <c r="CE34" s="261">
        <f t="shared" si="7"/>
        <v>188155.26211569324</v>
      </c>
      <c r="CF34" s="284">
        <f>(BB34-BC34)*'BCA Constants'!B$15*(1-'CCTA Output and Adj Factors'!$F$50)*'CCTA Output and Adj Factors'!$F$2</f>
        <v>110625.37127040017</v>
      </c>
      <c r="CG34" s="261">
        <f t="shared" ref="CG34" si="36">CF34/(1.07^($A34-$A$7))</f>
        <v>17802.981631289738</v>
      </c>
    </row>
    <row r="35" spans="1:85" x14ac:dyDescent="0.25">
      <c r="A35" s="204">
        <v>2048</v>
      </c>
      <c r="B35" s="200">
        <v>22</v>
      </c>
      <c r="C35" s="301">
        <v>28</v>
      </c>
      <c r="D35" s="258">
        <f>_xlfn.FORECAST.LINEAR(A35,'CCTA Output and Adj Factors'!$B$54:$D$54,'CCTA Output and Adj Factors'!$B$3:$D$3)*'CCTA Output and Adj Factors'!$F$2</f>
        <v>138962.63157894707</v>
      </c>
      <c r="E35" s="310"/>
      <c r="F35" s="258">
        <f>_xlfn.FORECAST.LINEAR(A35,'CCTA Output and Adj Factors'!$B$50:$D$50,'CCTA Output and Adj Factors'!$B$3:$D$3)*'CCTA Output and Adj Factors'!$F$2</f>
        <v>126643.68421052635</v>
      </c>
      <c r="G35" s="295">
        <f>'CCTA Output and Adj Factors'!$F$50*F35</f>
        <v>120311.50000000003</v>
      </c>
      <c r="H35" s="284">
        <f>_xlfn.FORECAST.LINEAR(A35,'CCTA Output and Adj Factors'!$B$51:$D$51,'CCTA Output and Adj Factors'!$B$3:$D$3)*'CCTA Output and Adj Factors'!$F$2</f>
        <v>5413.9473684210607</v>
      </c>
      <c r="I35" s="261"/>
      <c r="J35" s="284">
        <f>_xlfn.FORECAST.LINEAR(A35,'CCTA Output and Adj Factors'!$B$52:$D$52,'CCTA Output and Adj Factors'!$B$3:$D$3)*'CCTA Output and Adj Factors'!$F$2</f>
        <v>714.47368421052636</v>
      </c>
      <c r="K35" s="261"/>
      <c r="L35" s="284">
        <f>_xlfn.FORECAST.LINEAR(A35,'CCTA Output and Adj Factors'!$B$53:$D$53,'CCTA Output and Adj Factors'!$B$3:$D$3)*'CCTA Output and Adj Factors'!$F$2</f>
        <v>6190.5263157894742</v>
      </c>
      <c r="M35" s="295"/>
      <c r="N35" s="258">
        <f>_xlfn.FORECAST.LINEAR(A35,'CCTA Output and Adj Factors'!$B$48:$D$48,'CCTA Output and Adj Factors'!$B$3:$D$3)*'CCTA Output and Adj Factors'!$F$2</f>
        <v>33863.421052631624</v>
      </c>
      <c r="O35" s="259"/>
      <c r="P35" s="258">
        <f>_xlfn.FORECAST.LINEAR(A35,'CCTA Output and Adj Factors'!$B$44:$D$44,'CCTA Output and Adj Factors'!$B$3:$D$3)*'CCTA Output and Adj Factors'!$F$2</f>
        <v>29139.73684210522</v>
      </c>
      <c r="Q35" s="347">
        <f>P35-+(F35-G35)*'CCTA Output and Adj Factors'!$F$45</f>
        <v>25973.64473684206</v>
      </c>
      <c r="R35" s="258">
        <f>_xlfn.FORECAST.LINEAR(A35,'CCTA Output and Adj Factors'!$B$45:$D$45,'CCTA Output and Adj Factors'!$B$3:$D$3)*'CCTA Output and Adj Factors'!$F$2</f>
        <v>4532.8947368421032</v>
      </c>
      <c r="S35" s="347">
        <f>R35+(F35-G35)*'CCTA Output and Adj Factors'!$F$45</f>
        <v>7698.9868421052633</v>
      </c>
      <c r="T35" s="258">
        <f>_xlfn.FORECAST.LINEAR(A35,'CCTA Output and Adj Factors'!$C$46:$D$46,'CCTA Output and Adj Factors'!$C$3:$D$3)*'CCTA Output and Adj Factors'!$F$2</f>
        <v>104.11764705882335</v>
      </c>
      <c r="U35" s="259"/>
      <c r="V35" s="382">
        <f>'CCTA Output and Adj Factors'!$B$47*'CCTA Output and Adj Factors'!$F$2</f>
        <v>90</v>
      </c>
      <c r="W35" s="201"/>
      <c r="X35" s="260">
        <f>_xlfn.FORECAST.LINEAR(A35,'CCTA Output and Adj Factors'!$B$5:$D$5,'CCTA Output and Adj Factors'!$B$3:$D$3)*'CCTA Output and Adj Factors'!$F$2</f>
        <v>105099.21052631579</v>
      </c>
      <c r="Y35" s="259"/>
      <c r="Z35" s="260">
        <f>_xlfn.FORECAST.LINEAR(A35,'CCTA Output and Adj Factors'!$B$38:$D$38,'CCTA Output and Adj Factors'!$B$3:$D$3)*'CCTA Output and Adj Factors'!$F$2</f>
        <v>97503.947368420952</v>
      </c>
      <c r="AA35" s="262"/>
      <c r="AB35" s="284">
        <f>_xlfn.FORECAST.LINEAR(A35,'CCTA Output and Adj Factors'!$B$39:$D$39,'CCTA Output and Adj Factors'!$B$3:$D$3)*'CCTA Output and Adj Factors'!$F$2</f>
        <v>881.0526315789507</v>
      </c>
      <c r="AC35" s="261"/>
      <c r="AD35" s="260">
        <f>_xlfn.FORECAST.LINEAR(A35,'CCTA Output and Adj Factors'!$B$40:$D$40,'CCTA Output and Adj Factors'!$B$3:$D$3)*'CCTA Output and Adj Factors'!$F$2</f>
        <v>613.68421052631572</v>
      </c>
      <c r="AE35" s="262">
        <f>AD35+(F35-G35)*'CCTA Output and Adj Factors'!$F$40</f>
        <v>2196.7302631578959</v>
      </c>
      <c r="AF35" s="258">
        <f>_xlfn.FORECAST.LINEAR(A35,'CCTA Output and Adj Factors'!$B$41:$D$41,'CCTA Output and Adj Factors'!$B$3:$D$3)*'CCTA Output and Adj Factors'!$F$2</f>
        <v>6100.5263157894742</v>
      </c>
      <c r="AG35" s="261">
        <f>AF35+(F35-G35)*'CCTA Output and Adj Factors'!$F$41</f>
        <v>7683.5723684210543</v>
      </c>
      <c r="AH35" s="258">
        <f>_xlfn.FORECAST.LINEAR(A35,'CCTA Output and Adj Factors'!$B$10:$D$10,'CCTA Output and Adj Factors'!$B$3:$D$3)</f>
        <v>187012.28070175461</v>
      </c>
      <c r="AI35" s="259"/>
      <c r="AJ35" s="258">
        <f>_xlfn.FORECAST.LINEAR(A35,'CCTA Output and Adj Factors'!$B$11:$D$11,'CCTA Output and Adj Factors'!$B$3:$D$3)</f>
        <v>247292.98245614022</v>
      </c>
      <c r="AK35" s="259"/>
      <c r="AL35" s="258">
        <f>_xlfn.FORECAST.LINEAR(A35,'CCTA Output and Adj Factors'!$B$12:$D$12,'CCTA Output and Adj Factors'!$B$3:$D$3)</f>
        <v>593076.31578947324</v>
      </c>
      <c r="AM35" s="259"/>
      <c r="AN35" s="258">
        <f>_xlfn.FORECAST.LINEAR(A35,'CCTA Output and Adj Factors'!$B$13:$D$13,'CCTA Output and Adj Factors'!$B$3:$D$3)</f>
        <v>1232381.578947369</v>
      </c>
      <c r="AO35" s="259"/>
      <c r="AP35" s="258">
        <f>_xlfn.FORECAST.LINEAR(A35,'CCTA Output and Adj Factors'!$B$14:$D$14,'CCTA Output and Adj Factors'!$B$3:$D$3)</f>
        <v>804470.1754385978</v>
      </c>
      <c r="AQ35" s="259"/>
      <c r="AR35" s="258">
        <f>_xlfn.FORECAST.LINEAR(A35,'CCTA Output and Adj Factors'!$B$15:$D$15,'CCTA Output and Adj Factors'!$B$3:$D$3)</f>
        <v>323104.38596491236</v>
      </c>
      <c r="AS35" s="259"/>
      <c r="AT35" s="258">
        <f>_xlfn.FORECAST.LINEAR(A35,'CCTA Output and Adj Factors'!$B$16:$D$16,'CCTA Output and Adj Factors'!$B$3:$D$3)</f>
        <v>115969.29824561416</v>
      </c>
      <c r="AU35" s="259"/>
      <c r="AV35" s="258">
        <f>_xlfn.FORECAST.LINEAR(A35,'CCTA Output and Adj Factors'!$B$60:$D$60,'CCTA Output and Adj Factors'!$B$3:$D$3)*'CCTA Output and Adj Factors'!$F$2</f>
        <v>448543.94736842124</v>
      </c>
      <c r="AW35" s="261">
        <f>AV35*'CCTA Output and Adj Factors'!$F$60</f>
        <v>0</v>
      </c>
      <c r="AX35" s="353">
        <f>_xlfn.FORECAST.LINEAR(A35,'CCTA Output and Adj Factors'!$C$61:$D$61,'CCTA Output and Adj Factors'!$C$3:$D$3)*'CCTA Output and Adj Factors'!$F$2</f>
        <v>392863.76999999996</v>
      </c>
      <c r="AY35" s="261"/>
      <c r="AZ35" s="332">
        <f>_xlfn.FORECAST.LINEAR(A35,'CCTA Output and Adj Factors'!$C$62:$D$62,'CCTA Output and Adj Factors'!$C$3:$D$3)*'CCTA Output and Adj Factors'!$F$2</f>
        <v>840943.77</v>
      </c>
      <c r="BA35" s="262">
        <f>AZ35*'CCTA Output and Adj Factors'!$F$61</f>
        <v>798896.58149999997</v>
      </c>
      <c r="BB35" s="353">
        <v>16110413.298124999</v>
      </c>
      <c r="BC35" s="261">
        <v>13791942.760750001</v>
      </c>
      <c r="BD35" s="353">
        <v>572916.546875</v>
      </c>
      <c r="BE35" s="261">
        <v>490467.38125000015</v>
      </c>
      <c r="BF35" s="403">
        <f>(AZ35/1000000)*'BCA Constants'!$B$243</f>
        <v>0.56942657309255995</v>
      </c>
      <c r="BG35" s="404">
        <f>(BA35/1000000)*'BCA Constants'!$B$243</f>
        <v>0.54095524443793197</v>
      </c>
      <c r="BH35" s="403">
        <f>(AZ35/1000000)*'BCA Constants'!$B$244</f>
        <v>0.27298380284231999</v>
      </c>
      <c r="BI35" s="404">
        <f>(BA35/1000000)*'BCA Constants'!$B$244</f>
        <v>0.25933461270020403</v>
      </c>
      <c r="BJ35" s="422">
        <f>(AZ35/1000000)*'BCA Constants'!$B$245</f>
        <v>2.6430862691099997E-3</v>
      </c>
      <c r="BK35" s="416">
        <f>(BA35/1000000)*'BCA Constants'!$B$245</f>
        <v>2.5109319556545001E-3</v>
      </c>
      <c r="BL35" s="399">
        <f>(S35-R35)*'BCA Constants'!$B$81*'BCA Constants'!$B$9</f>
        <v>82318.394736842165</v>
      </c>
      <c r="BM35" s="261">
        <f t="shared" si="10"/>
        <v>12380.868692130991</v>
      </c>
      <c r="BN35" s="284">
        <f>(AG35-AF35)*'BCA Constants'!$B$43*'BCA Constants'!$B$9</f>
        <v>2914071.1736842128</v>
      </c>
      <c r="BO35" s="261">
        <f t="shared" si="1"/>
        <v>438282.75170143711</v>
      </c>
      <c r="BP35" s="284">
        <f>(AE35-AD35)*'BCA Constants'!$B$44*'BCA Constants'!$B$9</f>
        <v>2597145.3539473698</v>
      </c>
      <c r="BQ35" s="261">
        <f t="shared" si="2"/>
        <v>390616.40723673272</v>
      </c>
      <c r="BR35" s="284">
        <f t="shared" si="17"/>
        <v>23806.015772867249</v>
      </c>
      <c r="BS35" s="261">
        <f t="shared" si="3"/>
        <v>3580.4774413896112</v>
      </c>
      <c r="BT35" s="284">
        <f t="shared" si="18"/>
        <v>2824.2390453244443</v>
      </c>
      <c r="BU35" s="261">
        <f t="shared" si="4"/>
        <v>424.77180084880615</v>
      </c>
      <c r="BV35" s="284">
        <f t="shared" si="19"/>
        <v>92868.286543076392</v>
      </c>
      <c r="BW35" s="261">
        <f t="shared" si="5"/>
        <v>13967.595760688806</v>
      </c>
      <c r="BX35" s="284">
        <f t="shared" si="20"/>
        <v>356666.01871805266</v>
      </c>
      <c r="BY35" s="261">
        <f t="shared" si="6"/>
        <v>155890.42542750869</v>
      </c>
      <c r="BZ35" s="284">
        <f>(BF35-BG35)*'BCA Constants'!$B$248+('Project Benefit Calculations'!BH35-'Project Benefit Calculations'!BI35)*'BCA Constants'!$B$249+('Project Benefit Calculations'!BJ35-'Project Benefit Calculations'!BK35)*'BCA Constants'!$B$250</f>
        <v>5957.7308323692096</v>
      </c>
      <c r="CA35" s="261">
        <f t="shared" si="0"/>
        <v>896.05589825248148</v>
      </c>
      <c r="CB35" s="284">
        <f>(AZ35-BA35)*'BCA Constants'!B$30</f>
        <v>18921.234825000021</v>
      </c>
      <c r="CC35" s="261">
        <f t="shared" si="7"/>
        <v>2845.7955795930516</v>
      </c>
      <c r="CD35" s="284">
        <f>(BB35-BC35)*'BCA Constants'!B$13*'CCTA Output and Adj Factors'!$F$50*'CCTA Output and Adj Factors'!$F$2</f>
        <v>1176160.1036103361</v>
      </c>
      <c r="CE35" s="261">
        <f t="shared" si="7"/>
        <v>176897.08175523352</v>
      </c>
      <c r="CF35" s="284">
        <f>(BB35-BC35)*'BCA Constants'!B$15*(1-'CCTA Output and Adj Factors'!$F$50)*'CCTA Output and Adj Factors'!$F$2</f>
        <v>111286.58579399997</v>
      </c>
      <c r="CG35" s="261">
        <f t="shared" ref="CG35" si="37">CF35/(1.07^($A35-$A$7))</f>
        <v>16737.748717230861</v>
      </c>
    </row>
    <row r="36" spans="1:85" x14ac:dyDescent="0.25">
      <c r="A36" s="199">
        <v>2049</v>
      </c>
      <c r="B36" s="200">
        <v>23</v>
      </c>
      <c r="C36" s="301">
        <v>29</v>
      </c>
      <c r="D36" s="258">
        <f>_xlfn.FORECAST.LINEAR(A36,'CCTA Output and Adj Factors'!$B$54:$D$54,'CCTA Output and Adj Factors'!$B$3:$D$3)*'CCTA Output and Adj Factors'!$F$2</f>
        <v>139984.66165413492</v>
      </c>
      <c r="E36" s="310"/>
      <c r="F36" s="258">
        <f>_xlfn.FORECAST.LINEAR(A36,'CCTA Output and Adj Factors'!$B$50:$D$50,'CCTA Output and Adj Factors'!$B$3:$D$3)*'CCTA Output and Adj Factors'!$F$2</f>
        <v>127561.95488721818</v>
      </c>
      <c r="G36" s="295">
        <f>'CCTA Output and Adj Factors'!$F$50*F36</f>
        <v>121183.85714285726</v>
      </c>
      <c r="H36" s="284">
        <f>_xlfn.FORECAST.LINEAR(A36,'CCTA Output and Adj Factors'!$B$51:$D$51,'CCTA Output and Adj Factors'!$B$3:$D$3)*'CCTA Output and Adj Factors'!$F$2</f>
        <v>5464.1353383458772</v>
      </c>
      <c r="I36" s="261"/>
      <c r="J36" s="284">
        <f>_xlfn.FORECAST.LINEAR(A36,'CCTA Output and Adj Factors'!$B$52:$D$52,'CCTA Output and Adj Factors'!$B$3:$D$3)*'CCTA Output and Adj Factors'!$F$2</f>
        <v>721.35338345864614</v>
      </c>
      <c r="K36" s="261"/>
      <c r="L36" s="284">
        <f>_xlfn.FORECAST.LINEAR(A36,'CCTA Output and Adj Factors'!$B$53:$D$53,'CCTA Output and Adj Factors'!$B$3:$D$3)*'CCTA Output and Adj Factors'!$F$2</f>
        <v>6237.2180451127842</v>
      </c>
      <c r="M36" s="295"/>
      <c r="N36" s="258">
        <f>_xlfn.FORECAST.LINEAR(A36,'CCTA Output and Adj Factors'!$B$48:$D$48,'CCTA Output and Adj Factors'!$B$3:$D$3)*'CCTA Output and Adj Factors'!$F$2</f>
        <v>34055.488721804577</v>
      </c>
      <c r="O36" s="259"/>
      <c r="P36" s="258">
        <f>_xlfn.FORECAST.LINEAR(A36,'CCTA Output and Adj Factors'!$B$44:$D$44,'CCTA Output and Adj Factors'!$B$3:$D$3)*'CCTA Output and Adj Factors'!$F$2</f>
        <v>29296.390977443585</v>
      </c>
      <c r="Q36" s="347">
        <f>P36-+(F36-G36)*'CCTA Output and Adj Factors'!$F$45</f>
        <v>26107.342105263127</v>
      </c>
      <c r="R36" s="258">
        <f>_xlfn.FORECAST.LINEAR(A36,'CCTA Output and Adj Factors'!$B$45:$D$45,'CCTA Output and Adj Factors'!$B$3:$D$3)*'CCTA Output and Adj Factors'!$F$2</f>
        <v>4566.8421052631593</v>
      </c>
      <c r="S36" s="347">
        <f>R36+(F36-G36)*'CCTA Output and Adj Factors'!$F$45</f>
        <v>7755.890977443617</v>
      </c>
      <c r="T36" s="258">
        <f>_xlfn.FORECAST.LINEAR(A36,'CCTA Output and Adj Factors'!$C$46:$D$46,'CCTA Output and Adj Factors'!$C$3:$D$3)*'CCTA Output and Adj Factors'!$F$2</f>
        <v>105.88235294117621</v>
      </c>
      <c r="U36" s="259"/>
      <c r="V36" s="382">
        <f>'CCTA Output and Adj Factors'!$B$47*'CCTA Output and Adj Factors'!$F$2</f>
        <v>90</v>
      </c>
      <c r="W36" s="201"/>
      <c r="X36" s="260">
        <f>_xlfn.FORECAST.LINEAR(A36,'CCTA Output and Adj Factors'!$B$5:$D$5,'CCTA Output and Adj Factors'!$B$3:$D$3)*'CCTA Output and Adj Factors'!$F$2</f>
        <v>105929.17293233088</v>
      </c>
      <c r="Y36" s="259"/>
      <c r="Z36" s="260">
        <f>_xlfn.FORECAST.LINEAR(A36,'CCTA Output and Adj Factors'!$B$38:$D$38,'CCTA Output and Adj Factors'!$B$3:$D$3)*'CCTA Output and Adj Factors'!$F$2</f>
        <v>98265.563909774413</v>
      </c>
      <c r="AA36" s="262"/>
      <c r="AB36" s="284">
        <f>_xlfn.FORECAST.LINEAR(A36,'CCTA Output and Adj Factors'!$B$39:$D$39,'CCTA Output and Adj Factors'!$B$3:$D$3)*'CCTA Output and Adj Factors'!$F$2</f>
        <v>897.29323308271125</v>
      </c>
      <c r="AC36" s="261"/>
      <c r="AD36" s="260">
        <f>_xlfn.FORECAST.LINEAR(A36,'CCTA Output and Adj Factors'!$B$40:$D$40,'CCTA Output and Adj Factors'!$B$3:$D$3)*'CCTA Output and Adj Factors'!$F$2</f>
        <v>619.09774436090197</v>
      </c>
      <c r="AE36" s="262">
        <f>AD36+(F36-G36)*'CCTA Output and Adj Factors'!$F$40</f>
        <v>2213.6221804511306</v>
      </c>
      <c r="AF36" s="258">
        <f>_xlfn.FORECAST.LINEAR(A36,'CCTA Output and Adj Factors'!$B$41:$D$41,'CCTA Output and Adj Factors'!$B$3:$D$3)*'CCTA Output and Adj Factors'!$F$2</f>
        <v>6147.2180451127842</v>
      </c>
      <c r="AG36" s="261">
        <f>AF36+(F36-G36)*'CCTA Output and Adj Factors'!$F$41</f>
        <v>7741.7424812030131</v>
      </c>
      <c r="AH36" s="258">
        <f>_xlfn.FORECAST.LINEAR(A36,'CCTA Output and Adj Factors'!$B$10:$D$10,'CCTA Output and Adj Factors'!$B$3:$D$3)</f>
        <v>188287.4686716795</v>
      </c>
      <c r="AI36" s="259"/>
      <c r="AJ36" s="258">
        <f>_xlfn.FORECAST.LINEAR(A36,'CCTA Output and Adj Factors'!$B$11:$D$11,'CCTA Output and Adj Factors'!$B$3:$D$3)</f>
        <v>248970.42606516276</v>
      </c>
      <c r="AK36" s="259"/>
      <c r="AL36" s="258">
        <f>_xlfn.FORECAST.LINEAR(A36,'CCTA Output and Adj Factors'!$B$12:$D$12,'CCTA Output and Adj Factors'!$B$3:$D$3)</f>
        <v>596818.04511278123</v>
      </c>
      <c r="AM36" s="259"/>
      <c r="AN36" s="258">
        <f>_xlfn.FORECAST.LINEAR(A36,'CCTA Output and Adj Factors'!$B$13:$D$13,'CCTA Output and Adj Factors'!$B$3:$D$3)</f>
        <v>1242090.2255639099</v>
      </c>
      <c r="AO36" s="259"/>
      <c r="AP36" s="258">
        <f>_xlfn.FORECAST.LINEAR(A36,'CCTA Output and Adj Factors'!$B$14:$D$14,'CCTA Output and Adj Factors'!$B$3:$D$3)</f>
        <v>812010.02506265789</v>
      </c>
      <c r="AQ36" s="259"/>
      <c r="AR36" s="258">
        <f>_xlfn.FORECAST.LINEAR(A36,'CCTA Output and Adj Factors'!$B$15:$D$15,'CCTA Output and Adj Factors'!$B$3:$D$3)</f>
        <v>325750.62656641658</v>
      </c>
      <c r="AS36" s="259"/>
      <c r="AT36" s="258">
        <f>_xlfn.FORECAST.LINEAR(A36,'CCTA Output and Adj Factors'!$B$16:$D$16,'CCTA Output and Adj Factors'!$B$3:$D$3)</f>
        <v>117045.61403508787</v>
      </c>
      <c r="AU36" s="259"/>
      <c r="AV36" s="258">
        <f>_xlfn.FORECAST.LINEAR(A36,'CCTA Output and Adj Factors'!$B$60:$D$60,'CCTA Output and Adj Factors'!$B$3:$D$3)*'CCTA Output and Adj Factors'!$F$2</f>
        <v>452065.5639097747</v>
      </c>
      <c r="AW36" s="261">
        <f>AV36*'CCTA Output and Adj Factors'!$F$60</f>
        <v>0</v>
      </c>
      <c r="AX36" s="353">
        <f>_xlfn.FORECAST.LINEAR(A36,'CCTA Output and Adj Factors'!$C$61:$D$61,'CCTA Output and Adj Factors'!$C$3:$D$3)*'CCTA Output and Adj Factors'!$F$2</f>
        <v>395399.37</v>
      </c>
      <c r="AY36" s="261"/>
      <c r="AZ36" s="332">
        <f>_xlfn.FORECAST.LINEAR(A36,'CCTA Output and Adj Factors'!$C$62:$D$62,'CCTA Output and Adj Factors'!$C$3:$D$3)*'CCTA Output and Adj Factors'!$F$2</f>
        <v>846959.37</v>
      </c>
      <c r="BA36" s="262">
        <f>AZ36*'CCTA Output and Adj Factors'!$F$61</f>
        <v>804611.40149999992</v>
      </c>
      <c r="BB36" s="353">
        <v>16453228.067049997</v>
      </c>
      <c r="BC36" s="261">
        <v>14120982.227100002</v>
      </c>
      <c r="BD36" s="353">
        <v>585107.68374999997</v>
      </c>
      <c r="BE36" s="261">
        <v>502168.64250000007</v>
      </c>
      <c r="BF36" s="403">
        <f>(AZ36/1000000)*'BCA Constants'!$B$243</f>
        <v>0.57349990428935993</v>
      </c>
      <c r="BG36" s="404">
        <f>(BA36/1000000)*'BCA Constants'!$B$243</f>
        <v>0.54482490907489189</v>
      </c>
      <c r="BH36" s="403">
        <f>(AZ36/1000000)*'BCA Constants'!$B$244</f>
        <v>0.27493656285192003</v>
      </c>
      <c r="BI36" s="404">
        <f>(BA36/1000000)*'BCA Constants'!$B$244</f>
        <v>0.261189734709324</v>
      </c>
      <c r="BJ36" s="422">
        <f>(AZ36/1000000)*'BCA Constants'!$B$245</f>
        <v>2.6619932999100001E-3</v>
      </c>
      <c r="BK36" s="416">
        <f>(BA36/1000000)*'BCA Constants'!$B$245</f>
        <v>2.5288936349144994E-3</v>
      </c>
      <c r="BL36" s="399">
        <f>(S36-R36)*'BCA Constants'!$B$81*'BCA Constants'!$B$9</f>
        <v>82915.270676691915</v>
      </c>
      <c r="BM36" s="261">
        <f t="shared" si="10"/>
        <v>11654.803882271777</v>
      </c>
      <c r="BN36" s="284">
        <f>(AG36-AF36)*'BCA Constants'!$B$43*'BCA Constants'!$B$9</f>
        <v>2935200.5819548932</v>
      </c>
      <c r="BO36" s="261">
        <f t="shared" si="1"/>
        <v>412580.05743242084</v>
      </c>
      <c r="BP36" s="284">
        <f>(AE36-AD36)*'BCA Constants'!$B$44*'BCA Constants'!$B$9</f>
        <v>2615976.7898496287</v>
      </c>
      <c r="BQ36" s="261">
        <f t="shared" si="2"/>
        <v>367709.0624856744</v>
      </c>
      <c r="BR36" s="284">
        <f t="shared" si="17"/>
        <v>24204.236850368208</v>
      </c>
      <c r="BS36" s="261">
        <f t="shared" si="3"/>
        <v>3402.2156752169431</v>
      </c>
      <c r="BT36" s="284">
        <f t="shared" si="18"/>
        <v>2872.2213977359497</v>
      </c>
      <c r="BU36" s="261">
        <f t="shared" si="4"/>
        <v>403.72752598981907</v>
      </c>
      <c r="BV36" s="284">
        <f t="shared" si="19"/>
        <v>94359.420861241408</v>
      </c>
      <c r="BW36" s="261">
        <f t="shared" si="5"/>
        <v>13263.4258515622</v>
      </c>
      <c r="BX36" s="284">
        <f t="shared" si="20"/>
        <v>363011.09989653155</v>
      </c>
      <c r="BY36" s="261">
        <f t="shared" si="6"/>
        <v>154042.43971611751</v>
      </c>
      <c r="BZ36" s="284">
        <f>(BF36-BG36)*'BCA Constants'!$B$248+('Project Benefit Calculations'!BH36-'Project Benefit Calculations'!BI36)*'BCA Constants'!$B$249+('Project Benefit Calculations'!BJ36-'Project Benefit Calculations'!BK36)*'BCA Constants'!$B$250</f>
        <v>6000.3488133493538</v>
      </c>
      <c r="CA36" s="261">
        <f t="shared" si="0"/>
        <v>843.42592231888523</v>
      </c>
      <c r="CB36" s="284">
        <f>(AZ36-BA36)*'BCA Constants'!B$30</f>
        <v>19056.585825000035</v>
      </c>
      <c r="CC36" s="261">
        <f t="shared" si="7"/>
        <v>2678.647354624024</v>
      </c>
      <c r="CD36" s="284">
        <f>(BB36-BC36)*'BCA Constants'!B$13*'CCTA Output and Adj Factors'!$F$50*'CCTA Output and Adj Factors'!$F$2</f>
        <v>1183148.3146066326</v>
      </c>
      <c r="CE36" s="261">
        <f t="shared" si="7"/>
        <v>166306.65808411792</v>
      </c>
      <c r="CF36" s="284">
        <f>(BB36-BC36)*'BCA Constants'!B$15*(1-'CCTA Output and Adj Factors'!$F$50)*'CCTA Output and Adj Factors'!$F$2</f>
        <v>111947.80031759986</v>
      </c>
      <c r="CG36" s="261">
        <f t="shared" ref="CG36" si="38">CF36/(1.07^($A36-$A$7))</f>
        <v>15735.697985487221</v>
      </c>
    </row>
    <row r="37" spans="1:85" x14ac:dyDescent="0.25">
      <c r="A37" s="204">
        <v>2050</v>
      </c>
      <c r="B37" s="200">
        <v>24</v>
      </c>
      <c r="C37" s="301">
        <v>30</v>
      </c>
      <c r="D37" s="258">
        <f>_xlfn.FORECAST.LINEAR(A37,'CCTA Output and Adj Factors'!$B$54:$D$54,'CCTA Output and Adj Factors'!$B$3:$D$3)*'CCTA Output and Adj Factors'!$F$2</f>
        <v>141006.69172932318</v>
      </c>
      <c r="E37" s="310"/>
      <c r="F37" s="258">
        <f>_xlfn.FORECAST.LINEAR(A37,'CCTA Output and Adj Factors'!$B$50:$D$50,'CCTA Output and Adj Factors'!$B$3:$D$3)*'CCTA Output and Adj Factors'!$F$2</f>
        <v>128480.22556390979</v>
      </c>
      <c r="G37" s="295">
        <f>'CCTA Output and Adj Factors'!$F$50*F37</f>
        <v>122056.21428571429</v>
      </c>
      <c r="H37" s="284">
        <f>_xlfn.FORECAST.LINEAR(A37,'CCTA Output and Adj Factors'!$B$51:$D$51,'CCTA Output and Adj Factors'!$B$3:$D$3)*'CCTA Output and Adj Factors'!$F$2</f>
        <v>5514.3233082706802</v>
      </c>
      <c r="I37" s="261"/>
      <c r="J37" s="284">
        <f>_xlfn.FORECAST.LINEAR(A37,'CCTA Output and Adj Factors'!$B$52:$D$52,'CCTA Output and Adj Factors'!$B$3:$D$3)*'CCTA Output and Adj Factors'!$F$2</f>
        <v>728.23308270676762</v>
      </c>
      <c r="K37" s="261"/>
      <c r="L37" s="284">
        <f>_xlfn.FORECAST.LINEAR(A37,'CCTA Output and Adj Factors'!$B$53:$D$53,'CCTA Output and Adj Factors'!$B$3:$D$3)*'CCTA Output and Adj Factors'!$F$2</f>
        <v>6283.9097744360934</v>
      </c>
      <c r="M37" s="295"/>
      <c r="N37" s="258">
        <f>_xlfn.FORECAST.LINEAR(A37,'CCTA Output and Adj Factors'!$B$48:$D$48,'CCTA Output and Adj Factors'!$B$3:$D$3)*'CCTA Output and Adj Factors'!$F$2</f>
        <v>34247.556390977479</v>
      </c>
      <c r="O37" s="259"/>
      <c r="P37" s="258">
        <f>_xlfn.FORECAST.LINEAR(A37,'CCTA Output and Adj Factors'!$B$44:$D$44,'CCTA Output and Adj Factors'!$B$3:$D$3)*'CCTA Output and Adj Factors'!$F$2</f>
        <v>29453.045112781896</v>
      </c>
      <c r="Q37" s="347">
        <f>P37-+(F37-G37)*'CCTA Output and Adj Factors'!$F$45</f>
        <v>26241.039473684148</v>
      </c>
      <c r="R37" s="258">
        <f>_xlfn.FORECAST.LINEAR(A37,'CCTA Output and Adj Factors'!$B$45:$D$45,'CCTA Output and Adj Factors'!$B$3:$D$3)*'CCTA Output and Adj Factors'!$F$2</f>
        <v>4600.7894736842018</v>
      </c>
      <c r="S37" s="347">
        <f>R37+(F37-G37)*'CCTA Output and Adj Factors'!$F$45</f>
        <v>7812.7951127819497</v>
      </c>
      <c r="T37" s="258">
        <f>_xlfn.FORECAST.LINEAR(A37,'CCTA Output and Adj Factors'!$C$46:$D$46,'CCTA Output and Adj Factors'!$C$3:$D$3)*'CCTA Output and Adj Factors'!$F$2</f>
        <v>107.64705882352908</v>
      </c>
      <c r="U37" s="259"/>
      <c r="V37" s="382">
        <f>'CCTA Output and Adj Factors'!$B$47*'CCTA Output and Adj Factors'!$F$2</f>
        <v>90</v>
      </c>
      <c r="W37" s="201"/>
      <c r="X37" s="260">
        <f>_xlfn.FORECAST.LINEAR(A37,'CCTA Output and Adj Factors'!$B$5:$D$5,'CCTA Output and Adj Factors'!$B$3:$D$3)*'CCTA Output and Adj Factors'!$F$2</f>
        <v>106759.13533834576</v>
      </c>
      <c r="Y37" s="259"/>
      <c r="Z37" s="260">
        <f>_xlfn.FORECAST.LINEAR(A37,'CCTA Output and Adj Factors'!$B$38:$D$38,'CCTA Output and Adj Factors'!$B$3:$D$3)*'CCTA Output and Adj Factors'!$F$2</f>
        <v>99027.180451127657</v>
      </c>
      <c r="AA37" s="262"/>
      <c r="AB37" s="284">
        <f>_xlfn.FORECAST.LINEAR(A37,'CCTA Output and Adj Factors'!$B$39:$D$39,'CCTA Output and Adj Factors'!$B$3:$D$3)*'CCTA Output and Adj Factors'!$F$2</f>
        <v>913.5338345864717</v>
      </c>
      <c r="AC37" s="261"/>
      <c r="AD37" s="260">
        <f>_xlfn.FORECAST.LINEAR(A37,'CCTA Output and Adj Factors'!$B$40:$D$40,'CCTA Output and Adj Factors'!$B$3:$D$3)*'CCTA Output and Adj Factors'!$F$2</f>
        <v>624.51127819548822</v>
      </c>
      <c r="AE37" s="262">
        <f>AD37+(F37-G37)*'CCTA Output and Adj Factors'!$F$40</f>
        <v>2230.5140977443621</v>
      </c>
      <c r="AF37" s="258">
        <f>_xlfn.FORECAST.LINEAR(A37,'CCTA Output and Adj Factors'!$B$41:$D$41,'CCTA Output and Adj Factors'!$B$3:$D$3)*'CCTA Output and Adj Factors'!$F$2</f>
        <v>6193.9097744360934</v>
      </c>
      <c r="AG37" s="261">
        <f>AF37+(F37-G37)*'CCTA Output and Adj Factors'!$F$41</f>
        <v>7799.9125939849673</v>
      </c>
      <c r="AH37" s="258">
        <f>_xlfn.FORECAST.LINEAR(A37,'CCTA Output and Adj Factors'!$B$10:$D$10,'CCTA Output and Adj Factors'!$B$3:$D$3)</f>
        <v>189562.65664160438</v>
      </c>
      <c r="AI37" s="259"/>
      <c r="AJ37" s="258">
        <f>_xlfn.FORECAST.LINEAR(A37,'CCTA Output and Adj Factors'!$B$11:$D$11,'CCTA Output and Adj Factors'!$B$3:$D$3)</f>
        <v>250647.86967418529</v>
      </c>
      <c r="AK37" s="259"/>
      <c r="AL37" s="258">
        <f>_xlfn.FORECAST.LINEAR(A37,'CCTA Output and Adj Factors'!$B$12:$D$12,'CCTA Output and Adj Factors'!$B$3:$D$3)</f>
        <v>600559.77443609014</v>
      </c>
      <c r="AM37" s="259"/>
      <c r="AN37" s="258">
        <f>_xlfn.FORECAST.LINEAR(A37,'CCTA Output and Adj Factors'!$B$13:$D$13,'CCTA Output and Adj Factors'!$B$3:$D$3)</f>
        <v>1251798.8721804507</v>
      </c>
      <c r="AO37" s="259"/>
      <c r="AP37" s="258">
        <f>_xlfn.FORECAST.LINEAR(A37,'CCTA Output and Adj Factors'!$B$14:$D$14,'CCTA Output and Adj Factors'!$B$3:$D$3)</f>
        <v>819549.87468671799</v>
      </c>
      <c r="AQ37" s="259"/>
      <c r="AR37" s="258">
        <f>_xlfn.FORECAST.LINEAR(A37,'CCTA Output and Adj Factors'!$B$15:$D$15,'CCTA Output and Adj Factors'!$B$3:$D$3)</f>
        <v>328396.86716791987</v>
      </c>
      <c r="AS37" s="259"/>
      <c r="AT37" s="258">
        <f>_xlfn.FORECAST.LINEAR(A37,'CCTA Output and Adj Factors'!$B$16:$D$16,'CCTA Output and Adj Factors'!$B$3:$D$3)</f>
        <v>118121.92982456158</v>
      </c>
      <c r="AU37" s="259"/>
      <c r="AV37" s="258">
        <f>_xlfn.FORECAST.LINEAR(A37,'CCTA Output and Adj Factors'!$B$60:$D$60,'CCTA Output and Adj Factors'!$B$3:$D$3)*'CCTA Output and Adj Factors'!$F$2</f>
        <v>455587.18045112817</v>
      </c>
      <c r="AW37" s="261">
        <f>AV37*'CCTA Output and Adj Factors'!$F$60</f>
        <v>0</v>
      </c>
      <c r="AX37" s="353">
        <f>_xlfn.FORECAST.LINEAR(A37,'CCTA Output and Adj Factors'!$C$61:$D$61,'CCTA Output and Adj Factors'!$C$3:$D$3)*'CCTA Output and Adj Factors'!$F$2</f>
        <v>397934.97</v>
      </c>
      <c r="AY37" s="261"/>
      <c r="AZ37" s="332">
        <f>_xlfn.FORECAST.LINEAR(A37,'CCTA Output and Adj Factors'!$C$62:$D$62,'CCTA Output and Adj Factors'!$C$3:$D$3)*'CCTA Output and Adj Factors'!$F$2</f>
        <v>852974.97</v>
      </c>
      <c r="BA37" s="262">
        <f>AZ37*'CCTA Output and Adj Factors'!$F$61</f>
        <v>810326.22149999999</v>
      </c>
      <c r="BB37" s="353">
        <v>16796042.835975002</v>
      </c>
      <c r="BC37" s="261">
        <v>14450021.693450002</v>
      </c>
      <c r="BD37" s="353">
        <v>597298.82062500005</v>
      </c>
      <c r="BE37" s="261">
        <v>513869.90375000006</v>
      </c>
      <c r="BF37" s="403">
        <f>(AZ37/1000000)*'BCA Constants'!$B$243</f>
        <v>0.57757323548615991</v>
      </c>
      <c r="BG37" s="404">
        <f>(BA37/1000000)*'BCA Constants'!$B$243</f>
        <v>0.54869457371185193</v>
      </c>
      <c r="BH37" s="403">
        <f>(AZ37/1000000)*'BCA Constants'!$B$244</f>
        <v>0.27688932286152002</v>
      </c>
      <c r="BI37" s="404">
        <f>(BA37/1000000)*'BCA Constants'!$B$244</f>
        <v>0.26304485671844402</v>
      </c>
      <c r="BJ37" s="422">
        <f>(AZ37/1000000)*'BCA Constants'!$B$245</f>
        <v>2.6809003307100001E-3</v>
      </c>
      <c r="BK37" s="416">
        <f>(BA37/1000000)*'BCA Constants'!$B$245</f>
        <v>2.5468553141745E-3</v>
      </c>
      <c r="BL37" s="399">
        <f>(S37-R37)*'BCA Constants'!$B$81*'BCA Constants'!$B$9</f>
        <v>83512.146616541446</v>
      </c>
      <c r="BM37" s="261">
        <f t="shared" si="10"/>
        <v>10970.749948406481</v>
      </c>
      <c r="BN37" s="284">
        <f>(AG37-AF37)*'BCA Constants'!$B$43*'BCA Constants'!$B$9</f>
        <v>2956329.990225567</v>
      </c>
      <c r="BO37" s="261">
        <f t="shared" si="1"/>
        <v>388364.5481735894</v>
      </c>
      <c r="BP37" s="284">
        <f>(AE37-AD37)*'BCA Constants'!$B$44*'BCA Constants'!$B$9</f>
        <v>2634808.2257518824</v>
      </c>
      <c r="BQ37" s="261">
        <f t="shared" si="2"/>
        <v>346127.16087222443</v>
      </c>
      <c r="BR37" s="284">
        <f t="shared" si="17"/>
        <v>24602.457927869284</v>
      </c>
      <c r="BS37" s="261">
        <f t="shared" si="3"/>
        <v>3231.9539729012708</v>
      </c>
      <c r="BT37" s="284">
        <f t="shared" si="18"/>
        <v>2920.2037501474406</v>
      </c>
      <c r="BU37" s="261">
        <f t="shared" si="4"/>
        <v>383.61874816089136</v>
      </c>
      <c r="BV37" s="284">
        <f t="shared" si="19"/>
        <v>95850.555179406889</v>
      </c>
      <c r="BW37" s="261">
        <f t="shared" si="5"/>
        <v>12591.61111158562</v>
      </c>
      <c r="BX37" s="284">
        <f t="shared" si="20"/>
        <v>369356.18107501231</v>
      </c>
      <c r="BY37" s="261">
        <f t="shared" si="6"/>
        <v>152169.85614826487</v>
      </c>
      <c r="BZ37" s="284">
        <f>(BF37-BG37)*'BCA Constants'!$B$248+('Project Benefit Calculations'!BH37-'Project Benefit Calculations'!BI37)*'BCA Constants'!$B$249+('Project Benefit Calculations'!BJ37-'Project Benefit Calculations'!BK37)*'BCA Constants'!$B$250</f>
        <v>6042.9667943294426</v>
      </c>
      <c r="CA37" s="261">
        <f t="shared" si="0"/>
        <v>793.84712683197188</v>
      </c>
      <c r="CB37" s="284">
        <f>(AZ37-BA37)*'BCA Constants'!B$30</f>
        <v>19191.936824999993</v>
      </c>
      <c r="CC37" s="261">
        <f t="shared" si="7"/>
        <v>2521.1894133132605</v>
      </c>
      <c r="CD37" s="284">
        <f>(BB37-BC37)*'BCA Constants'!B$13*'CCTA Output and Adj Factors'!$F$50*'CCTA Output and Adj Factors'!$F$2</f>
        <v>1190136.5256029328</v>
      </c>
      <c r="CE37" s="261">
        <f t="shared" si="7"/>
        <v>156344.80438883693</v>
      </c>
      <c r="CF37" s="284">
        <f>(BB37-BC37)*'BCA Constants'!B$15*(1-'CCTA Output and Adj Factors'!$F$50)*'CCTA Output and Adj Factors'!$F$2</f>
        <v>112609.01484120013</v>
      </c>
      <c r="CG37" s="261">
        <f t="shared" ref="CG37" si="39">CF37/(1.07^($A37-$A$7))</f>
        <v>14793.121645306879</v>
      </c>
    </row>
    <row r="38" spans="1:85" x14ac:dyDescent="0.25">
      <c r="A38" s="199">
        <v>2051</v>
      </c>
      <c r="B38" s="200">
        <v>25</v>
      </c>
      <c r="C38" s="301">
        <v>31</v>
      </c>
      <c r="D38" s="258">
        <f>_xlfn.FORECAST.LINEAR(A38,'CCTA Output and Adj Factors'!$B$54:$D$54,'CCTA Output and Adj Factors'!$B$3:$D$3)*'CCTA Output and Adj Factors'!$F$2</f>
        <v>142028.72180451101</v>
      </c>
      <c r="E38" s="310"/>
      <c r="F38" s="258">
        <f>_xlfn.FORECAST.LINEAR(A38,'CCTA Output and Adj Factors'!$B$50:$D$50,'CCTA Output and Adj Factors'!$B$3:$D$3)*'CCTA Output and Adj Factors'!$F$2</f>
        <v>129398.49624060161</v>
      </c>
      <c r="G38" s="295">
        <f>'CCTA Output and Adj Factors'!$F$50*F38</f>
        <v>122928.57142857152</v>
      </c>
      <c r="H38" s="284">
        <f>_xlfn.FORECAST.LINEAR(A38,'CCTA Output and Adj Factors'!$B$51:$D$51,'CCTA Output and Adj Factors'!$B$3:$D$3)*'CCTA Output and Adj Factors'!$F$2</f>
        <v>5564.5112781954977</v>
      </c>
      <c r="I38" s="261"/>
      <c r="J38" s="284">
        <f>_xlfn.FORECAST.LINEAR(A38,'CCTA Output and Adj Factors'!$B$52:$D$52,'CCTA Output and Adj Factors'!$B$3:$D$3)*'CCTA Output and Adj Factors'!$F$2</f>
        <v>735.11278195488728</v>
      </c>
      <c r="K38" s="261"/>
      <c r="L38" s="284">
        <f>_xlfn.FORECAST.LINEAR(A38,'CCTA Output and Adj Factors'!$B$53:$D$53,'CCTA Output and Adj Factors'!$B$3:$D$3)*'CCTA Output and Adj Factors'!$F$2</f>
        <v>6330.6015037594034</v>
      </c>
      <c r="M38" s="295"/>
      <c r="N38" s="258">
        <f>_xlfn.FORECAST.LINEAR(A38,'CCTA Output and Adj Factors'!$B$48:$D$48,'CCTA Output and Adj Factors'!$B$3:$D$3)*'CCTA Output and Adj Factors'!$F$2</f>
        <v>34439.62406015044</v>
      </c>
      <c r="O38" s="259"/>
      <c r="P38" s="258">
        <f>_xlfn.FORECAST.LINEAR(A38,'CCTA Output and Adj Factors'!$B$44:$D$44,'CCTA Output and Adj Factors'!$B$3:$D$3)*'CCTA Output and Adj Factors'!$F$2</f>
        <v>29609.699248120261</v>
      </c>
      <c r="Q38" s="347">
        <f>P38-+(F38-G38)*'CCTA Output and Adj Factors'!$F$45</f>
        <v>26374.736842105216</v>
      </c>
      <c r="R38" s="258">
        <f>_xlfn.FORECAST.LINEAR(A38,'CCTA Output and Adj Factors'!$B$45:$D$45,'CCTA Output and Adj Factors'!$B$3:$D$3)*'CCTA Output and Adj Factors'!$F$2</f>
        <v>4634.7368421052579</v>
      </c>
      <c r="S38" s="347">
        <f>R38+(F38-G38)*'CCTA Output and Adj Factors'!$F$45</f>
        <v>7869.6992481203033</v>
      </c>
      <c r="T38" s="258">
        <f>_xlfn.FORECAST.LINEAR(A38,'CCTA Output and Adj Factors'!$C$46:$D$46,'CCTA Output and Adj Factors'!$C$3:$D$3)*'CCTA Output and Adj Factors'!$F$2</f>
        <v>109.41176470588238</v>
      </c>
      <c r="U38" s="259"/>
      <c r="V38" s="382">
        <f>'CCTA Output and Adj Factors'!$B$47*'CCTA Output and Adj Factors'!$F$2</f>
        <v>90</v>
      </c>
      <c r="W38" s="201"/>
      <c r="X38" s="260">
        <f>_xlfn.FORECAST.LINEAR(A38,'CCTA Output and Adj Factors'!$B$5:$D$5,'CCTA Output and Adj Factors'!$B$3:$D$3)*'CCTA Output and Adj Factors'!$F$2</f>
        <v>107589.09774436086</v>
      </c>
      <c r="Y38" s="259"/>
      <c r="Z38" s="260">
        <f>_xlfn.FORECAST.LINEAR(A38,'CCTA Output and Adj Factors'!$B$38:$D$38,'CCTA Output and Adj Factors'!$B$3:$D$3)*'CCTA Output and Adj Factors'!$F$2</f>
        <v>99788.796992481119</v>
      </c>
      <c r="AA38" s="262"/>
      <c r="AB38" s="284">
        <f>_xlfn.FORECAST.LINEAR(A38,'CCTA Output and Adj Factors'!$B$39:$D$39,'CCTA Output and Adj Factors'!$B$3:$D$3)*'CCTA Output and Adj Factors'!$F$2</f>
        <v>929.77443609023226</v>
      </c>
      <c r="AC38" s="261"/>
      <c r="AD38" s="260">
        <f>_xlfn.FORECAST.LINEAR(A38,'CCTA Output and Adj Factors'!$B$40:$D$40,'CCTA Output and Adj Factors'!$B$3:$D$3)*'CCTA Output and Adj Factors'!$F$2</f>
        <v>629.92481203007446</v>
      </c>
      <c r="AE38" s="262">
        <f>AD38+(F38-G38)*'CCTA Output and Adj Factors'!$F$40</f>
        <v>2247.4060150375972</v>
      </c>
      <c r="AF38" s="258">
        <f>_xlfn.FORECAST.LINEAR(A38,'CCTA Output and Adj Factors'!$B$41:$D$41,'CCTA Output and Adj Factors'!$B$3:$D$3)*'CCTA Output and Adj Factors'!$F$2</f>
        <v>6240.6015037594034</v>
      </c>
      <c r="AG38" s="261">
        <f>AF38+(F38-G38)*'CCTA Output and Adj Factors'!$F$41</f>
        <v>7858.0827067669261</v>
      </c>
      <c r="AH38" s="258">
        <f>_xlfn.FORECAST.LINEAR(A38,'CCTA Output and Adj Factors'!$B$10:$D$10,'CCTA Output and Adj Factors'!$B$3:$D$3)</f>
        <v>190837.84461152926</v>
      </c>
      <c r="AI38" s="259"/>
      <c r="AJ38" s="258">
        <f>_xlfn.FORECAST.LINEAR(A38,'CCTA Output and Adj Factors'!$B$11:$D$11,'CCTA Output and Adj Factors'!$B$3:$D$3)</f>
        <v>252325.31328320783</v>
      </c>
      <c r="AK38" s="259"/>
      <c r="AL38" s="258">
        <f>_xlfn.FORECAST.LINEAR(A38,'CCTA Output and Adj Factors'!$B$12:$D$12,'CCTA Output and Adj Factors'!$B$3:$D$3)</f>
        <v>604301.50375939813</v>
      </c>
      <c r="AM38" s="259"/>
      <c r="AN38" s="258">
        <f>_xlfn.FORECAST.LINEAR(A38,'CCTA Output and Adj Factors'!$B$13:$D$13,'CCTA Output and Adj Factors'!$B$3:$D$3)</f>
        <v>1261507.5187969916</v>
      </c>
      <c r="AO38" s="259"/>
      <c r="AP38" s="258">
        <f>_xlfn.FORECAST.LINEAR(A38,'CCTA Output and Adj Factors'!$B$14:$D$14,'CCTA Output and Adj Factors'!$B$3:$D$3)</f>
        <v>827089.72431077808</v>
      </c>
      <c r="AQ38" s="259"/>
      <c r="AR38" s="258">
        <f>_xlfn.FORECAST.LINEAR(A38,'CCTA Output and Adj Factors'!$B$15:$D$15,'CCTA Output and Adj Factors'!$B$3:$D$3)</f>
        <v>331043.1077694241</v>
      </c>
      <c r="AS38" s="259"/>
      <c r="AT38" s="258">
        <f>_xlfn.FORECAST.LINEAR(A38,'CCTA Output and Adj Factors'!$B$16:$D$16,'CCTA Output and Adj Factors'!$B$3:$D$3)</f>
        <v>119198.24561403529</v>
      </c>
      <c r="AU38" s="259"/>
      <c r="AV38" s="258">
        <f>_xlfn.FORECAST.LINEAR(A38,'CCTA Output and Adj Factors'!$B$60:$D$60,'CCTA Output and Adj Factors'!$B$3:$D$3)*'CCTA Output and Adj Factors'!$F$2</f>
        <v>459108.79699248163</v>
      </c>
      <c r="AW38" s="261">
        <f>AV38*'CCTA Output and Adj Factors'!$F$60</f>
        <v>0</v>
      </c>
      <c r="AX38" s="353">
        <f>_xlfn.FORECAST.LINEAR(A38,'CCTA Output and Adj Factors'!$C$61:$D$61,'CCTA Output and Adj Factors'!$C$3:$D$3)*'CCTA Output and Adj Factors'!$F$2</f>
        <v>400470.57</v>
      </c>
      <c r="AY38" s="261"/>
      <c r="AZ38" s="332">
        <f>_xlfn.FORECAST.LINEAR(A38,'CCTA Output and Adj Factors'!$C$62:$D$62,'CCTA Output and Adj Factors'!$C$3:$D$3)*'CCTA Output and Adj Factors'!$F$2</f>
        <v>858990.57</v>
      </c>
      <c r="BA38" s="262">
        <f>AZ38*'CCTA Output and Adj Factors'!$F$61</f>
        <v>816041.04149999993</v>
      </c>
      <c r="BB38" s="353">
        <v>17138857.604900002</v>
      </c>
      <c r="BC38" s="261">
        <v>14779061.159799999</v>
      </c>
      <c r="BD38" s="353">
        <v>609489.95750000014</v>
      </c>
      <c r="BE38" s="261">
        <v>525571.16500000015</v>
      </c>
      <c r="BF38" s="403">
        <f>(AZ38/1000000)*'BCA Constants'!$B$243</f>
        <v>0.58164656668295989</v>
      </c>
      <c r="BG38" s="404">
        <f>(BA38/1000000)*'BCA Constants'!$B$243</f>
        <v>0.55256423834881185</v>
      </c>
      <c r="BH38" s="403">
        <f>(AZ38/1000000)*'BCA Constants'!$B$244</f>
        <v>0.27884208287112</v>
      </c>
      <c r="BI38" s="404">
        <f>(BA38/1000000)*'BCA Constants'!$B$244</f>
        <v>0.26489997872756399</v>
      </c>
      <c r="BJ38" s="422">
        <f>(AZ38/1000000)*'BCA Constants'!$B$245</f>
        <v>2.6998073615099997E-3</v>
      </c>
      <c r="BK38" s="416">
        <f>(BA38/1000000)*'BCA Constants'!$B$245</f>
        <v>2.5648169934344997E-3</v>
      </c>
      <c r="BL38" s="399">
        <f>(S38-R38)*'BCA Constants'!$B$81*'BCA Constants'!$B$9</f>
        <v>84109.022556391181</v>
      </c>
      <c r="BM38" s="261">
        <f t="shared" si="10"/>
        <v>10326.317588713528</v>
      </c>
      <c r="BN38" s="284">
        <f>(AG38-AF38)*'BCA Constants'!$B$43*'BCA Constants'!$B$9</f>
        <v>2977459.3984962478</v>
      </c>
      <c r="BO38" s="261">
        <f t="shared" si="1"/>
        <v>365551.64264045889</v>
      </c>
      <c r="BP38" s="284">
        <f>(AE38-AD38)*'BCA Constants'!$B$44*'BCA Constants'!$B$9</f>
        <v>2653639.6616541417</v>
      </c>
      <c r="BQ38" s="261">
        <f t="shared" si="2"/>
        <v>325795.31992391183</v>
      </c>
      <c r="BR38" s="284">
        <f t="shared" si="17"/>
        <v>25000.679005370243</v>
      </c>
      <c r="BS38" s="261">
        <f t="shared" si="3"/>
        <v>3069.4085306941738</v>
      </c>
      <c r="BT38" s="284">
        <f t="shared" si="18"/>
        <v>2968.186102558946</v>
      </c>
      <c r="BU38" s="261">
        <f t="shared" si="4"/>
        <v>364.41313221634232</v>
      </c>
      <c r="BV38" s="284">
        <f t="shared" si="19"/>
        <v>97341.689497571904</v>
      </c>
      <c r="BW38" s="261">
        <f t="shared" si="5"/>
        <v>11950.931895563766</v>
      </c>
      <c r="BX38" s="284">
        <f t="shared" si="20"/>
        <v>375701.26225349121</v>
      </c>
      <c r="BY38" s="261">
        <f t="shared" si="6"/>
        <v>150275.67532218614</v>
      </c>
      <c r="BZ38" s="284">
        <f>(BF38-BG38)*'BCA Constants'!$B$248+('Project Benefit Calculations'!BH38-'Project Benefit Calculations'!BI38)*'BCA Constants'!$B$249+('Project Benefit Calculations'!BJ38-'Project Benefit Calculations'!BK38)*'BCA Constants'!$B$250</f>
        <v>6085.5847753095532</v>
      </c>
      <c r="CA38" s="261">
        <f t="shared" si="0"/>
        <v>747.14554031054024</v>
      </c>
      <c r="CB38" s="284">
        <f>(AZ38-BA38)*'BCA Constants'!B$30</f>
        <v>19327.287825000007</v>
      </c>
      <c r="CC38" s="261">
        <f t="shared" si="7"/>
        <v>2372.8692373712643</v>
      </c>
      <c r="CD38" s="284">
        <f>(BB38-BC38)*'BCA Constants'!B$13*'CCTA Output and Adj Factors'!$F$50*'CCTA Output and Adj Factors'!$F$2</f>
        <v>1197124.7365992318</v>
      </c>
      <c r="CE38" s="261">
        <f t="shared" si="7"/>
        <v>146974.60329111095</v>
      </c>
      <c r="CF38" s="284">
        <f>(BB38-BC38)*'BCA Constants'!B$15*(1-'CCTA Output and Adj Factors'!$F$50)*'CCTA Output and Adj Factors'!$F$2</f>
        <v>113270.22936480028</v>
      </c>
      <c r="CG38" s="261">
        <f t="shared" ref="CG38" si="40">CF38/(1.07^($A38-$A$7))</f>
        <v>13906.526627189696</v>
      </c>
    </row>
    <row r="39" spans="1:85" x14ac:dyDescent="0.25">
      <c r="A39" s="204">
        <v>2052</v>
      </c>
      <c r="B39" s="200">
        <v>26</v>
      </c>
      <c r="C39" s="301">
        <v>32</v>
      </c>
      <c r="D39" s="258">
        <f>_xlfn.FORECAST.LINEAR(A39,'CCTA Output and Adj Factors'!$B$54:$D$54,'CCTA Output and Adj Factors'!$B$3:$D$3)*'CCTA Output and Adj Factors'!$F$2</f>
        <v>143050.75187969886</v>
      </c>
      <c r="E39" s="310"/>
      <c r="F39" s="258">
        <f>_xlfn.FORECAST.LINEAR(A39,'CCTA Output and Adj Factors'!$B$50:$D$50,'CCTA Output and Adj Factors'!$B$3:$D$3)*'CCTA Output and Adj Factors'!$F$2</f>
        <v>130316.76691729322</v>
      </c>
      <c r="G39" s="295">
        <f>'CCTA Output and Adj Factors'!$F$50*F39</f>
        <v>123800.92857142855</v>
      </c>
      <c r="H39" s="284">
        <f>_xlfn.FORECAST.LINEAR(A39,'CCTA Output and Adj Factors'!$B$51:$D$51,'CCTA Output and Adj Factors'!$B$3:$D$3)*'CCTA Output and Adj Factors'!$F$2</f>
        <v>5614.6992481203142</v>
      </c>
      <c r="I39" s="261"/>
      <c r="J39" s="284">
        <f>_xlfn.FORECAST.LINEAR(A39,'CCTA Output and Adj Factors'!$B$52:$D$52,'CCTA Output and Adj Factors'!$B$3:$D$3)*'CCTA Output and Adj Factors'!$F$2</f>
        <v>741.99248120300706</v>
      </c>
      <c r="K39" s="261"/>
      <c r="L39" s="284">
        <f>_xlfn.FORECAST.LINEAR(A39,'CCTA Output and Adj Factors'!$B$53:$D$53,'CCTA Output and Adj Factors'!$B$3:$D$3)*'CCTA Output and Adj Factors'!$F$2</f>
        <v>6377.2932330827134</v>
      </c>
      <c r="M39" s="295"/>
      <c r="N39" s="258">
        <f>_xlfn.FORECAST.LINEAR(A39,'CCTA Output and Adj Factors'!$B$48:$D$48,'CCTA Output and Adj Factors'!$B$3:$D$3)*'CCTA Output and Adj Factors'!$F$2</f>
        <v>34631.691729323342</v>
      </c>
      <c r="O39" s="259"/>
      <c r="P39" s="258">
        <f>_xlfn.FORECAST.LINEAR(A39,'CCTA Output and Adj Factors'!$B$44:$D$44,'CCTA Output and Adj Factors'!$B$3:$D$3)*'CCTA Output and Adj Factors'!$F$2</f>
        <v>29766.353383458627</v>
      </c>
      <c r="Q39" s="347">
        <f>P39-+(F39-G39)*'CCTA Output and Adj Factors'!$F$45</f>
        <v>26508.434210526291</v>
      </c>
      <c r="R39" s="258">
        <f>_xlfn.FORECAST.LINEAR(A39,'CCTA Output and Adj Factors'!$B$45:$D$45,'CCTA Output and Adj Factors'!$B$3:$D$3)*'CCTA Output and Adj Factors'!$F$2</f>
        <v>4668.684210526314</v>
      </c>
      <c r="S39" s="347">
        <f>R39+(F39-G39)*'CCTA Output and Adj Factors'!$F$45</f>
        <v>7926.6033834586497</v>
      </c>
      <c r="T39" s="258">
        <f>_xlfn.FORECAST.LINEAR(A39,'CCTA Output and Adj Factors'!$C$46:$D$46,'CCTA Output and Adj Factors'!$C$3:$D$3)*'CCTA Output and Adj Factors'!$F$2</f>
        <v>111.17647058823523</v>
      </c>
      <c r="U39" s="259"/>
      <c r="V39" s="382">
        <f>'CCTA Output and Adj Factors'!$B$47*'CCTA Output and Adj Factors'!$F$2</f>
        <v>90</v>
      </c>
      <c r="W39" s="201"/>
      <c r="X39" s="260">
        <f>_xlfn.FORECAST.LINEAR(A39,'CCTA Output and Adj Factors'!$B$5:$D$5,'CCTA Output and Adj Factors'!$B$3:$D$3)*'CCTA Output and Adj Factors'!$F$2</f>
        <v>108419.06015037595</v>
      </c>
      <c r="Y39" s="259"/>
      <c r="Z39" s="260">
        <f>_xlfn.FORECAST.LINEAR(A39,'CCTA Output and Adj Factors'!$B$38:$D$38,'CCTA Output and Adj Factors'!$B$3:$D$3)*'CCTA Output and Adj Factors'!$F$2</f>
        <v>100550.4135338346</v>
      </c>
      <c r="AA39" s="262"/>
      <c r="AB39" s="284">
        <f>_xlfn.FORECAST.LINEAR(A39,'CCTA Output and Adj Factors'!$B$39:$D$39,'CCTA Output and Adj Factors'!$B$3:$D$3)*'CCTA Output and Adj Factors'!$F$2</f>
        <v>946.01503759398588</v>
      </c>
      <c r="AC39" s="261"/>
      <c r="AD39" s="260">
        <f>_xlfn.FORECAST.LINEAR(A39,'CCTA Output and Adj Factors'!$B$40:$D$40,'CCTA Output and Adj Factors'!$B$3:$D$3)*'CCTA Output and Adj Factors'!$F$2</f>
        <v>635.33834586466082</v>
      </c>
      <c r="AE39" s="262">
        <f>AD39+(F39-G39)*'CCTA Output and Adj Factors'!$F$40</f>
        <v>2264.2979323308286</v>
      </c>
      <c r="AF39" s="258">
        <f>_xlfn.FORECAST.LINEAR(A39,'CCTA Output and Adj Factors'!$B$41:$D$41,'CCTA Output and Adj Factors'!$B$3:$D$3)*'CCTA Output and Adj Factors'!$F$2</f>
        <v>6287.2932330827134</v>
      </c>
      <c r="AG39" s="261">
        <f>AF39+(F39-G39)*'CCTA Output and Adj Factors'!$F$41</f>
        <v>7916.2528195488812</v>
      </c>
      <c r="AH39" s="258">
        <f>_xlfn.FORECAST.LINEAR(A39,'CCTA Output and Adj Factors'!$B$10:$D$10,'CCTA Output and Adj Factors'!$B$3:$D$3)</f>
        <v>192113.03258145368</v>
      </c>
      <c r="AI39" s="259"/>
      <c r="AJ39" s="258">
        <f>_xlfn.FORECAST.LINEAR(A39,'CCTA Output and Adj Factors'!$B$11:$D$11,'CCTA Output and Adj Factors'!$B$3:$D$3)</f>
        <v>254002.75689223036</v>
      </c>
      <c r="AK39" s="259"/>
      <c r="AL39" s="258">
        <f>_xlfn.FORECAST.LINEAR(A39,'CCTA Output and Adj Factors'!$B$12:$D$12,'CCTA Output and Adj Factors'!$B$3:$D$3)</f>
        <v>608043.23308270611</v>
      </c>
      <c r="AM39" s="259"/>
      <c r="AN39" s="258">
        <f>_xlfn.FORECAST.LINEAR(A39,'CCTA Output and Adj Factors'!$B$13:$D$13,'CCTA Output and Adj Factors'!$B$3:$D$3)</f>
        <v>1271216.1654135361</v>
      </c>
      <c r="AO39" s="259"/>
      <c r="AP39" s="258">
        <f>_xlfn.FORECAST.LINEAR(A39,'CCTA Output and Adj Factors'!$B$14:$D$14,'CCTA Output and Adj Factors'!$B$3:$D$3)</f>
        <v>834629.57393483818</v>
      </c>
      <c r="AQ39" s="259"/>
      <c r="AR39" s="258">
        <f>_xlfn.FORECAST.LINEAR(A39,'CCTA Output and Adj Factors'!$B$15:$D$15,'CCTA Output and Adj Factors'!$B$3:$D$3)</f>
        <v>333689.34837092739</v>
      </c>
      <c r="AS39" s="259"/>
      <c r="AT39" s="258">
        <f>_xlfn.FORECAST.LINEAR(A39,'CCTA Output and Adj Factors'!$B$16:$D$16,'CCTA Output and Adj Factors'!$B$3:$D$3)</f>
        <v>120274.561403509</v>
      </c>
      <c r="AU39" s="259"/>
      <c r="AV39" s="258">
        <f>_xlfn.FORECAST.LINEAR(A39,'CCTA Output and Adj Factors'!$B$60:$D$60,'CCTA Output and Adj Factors'!$B$3:$D$3)*'CCTA Output and Adj Factors'!$F$2</f>
        <v>462630.41353383509</v>
      </c>
      <c r="AW39" s="261">
        <f>AV39*'CCTA Output and Adj Factors'!$F$60</f>
        <v>0</v>
      </c>
      <c r="AX39" s="353">
        <f>_xlfn.FORECAST.LINEAR(A39,'CCTA Output and Adj Factors'!$C$61:$D$61,'CCTA Output and Adj Factors'!$C$3:$D$3)*'CCTA Output and Adj Factors'!$F$2</f>
        <v>403006.17</v>
      </c>
      <c r="AY39" s="261"/>
      <c r="AZ39" s="332">
        <f>_xlfn.FORECAST.LINEAR(A39,'CCTA Output and Adj Factors'!$C$62:$D$62,'CCTA Output and Adj Factors'!$C$3:$D$3)*'CCTA Output and Adj Factors'!$F$2</f>
        <v>865006.16999999993</v>
      </c>
      <c r="BA39" s="262">
        <f>AZ39*'CCTA Output and Adj Factors'!$F$61</f>
        <v>821755.86149999988</v>
      </c>
      <c r="BB39" s="353">
        <v>17481672.373824999</v>
      </c>
      <c r="BC39" s="261">
        <v>15108100.626150001</v>
      </c>
      <c r="BD39" s="353">
        <v>621681.09437499999</v>
      </c>
      <c r="BE39" s="261">
        <v>537272.42625000002</v>
      </c>
      <c r="BF39" s="403">
        <f>(AZ39/1000000)*'BCA Constants'!$B$243</f>
        <v>0.58571989787975987</v>
      </c>
      <c r="BG39" s="404">
        <f>(BA39/1000000)*'BCA Constants'!$B$243</f>
        <v>0.55643390298577189</v>
      </c>
      <c r="BH39" s="403">
        <f>(AZ39/1000000)*'BCA Constants'!$B$244</f>
        <v>0.28079484288071999</v>
      </c>
      <c r="BI39" s="404">
        <f>(BA39/1000000)*'BCA Constants'!$B$244</f>
        <v>0.26675510073668396</v>
      </c>
      <c r="BJ39" s="422">
        <f>(AZ39/1000000)*'BCA Constants'!$B$245</f>
        <v>2.7187143923099997E-3</v>
      </c>
      <c r="BK39" s="416">
        <f>(BA39/1000000)*'BCA Constants'!$B$245</f>
        <v>2.5827786726944995E-3</v>
      </c>
      <c r="BL39" s="399">
        <f>(S39-R39)*'BCA Constants'!$B$81*'BCA Constants'!$B$9</f>
        <v>84705.898496240741</v>
      </c>
      <c r="BM39" s="261">
        <f t="shared" si="10"/>
        <v>9719.25032006328</v>
      </c>
      <c r="BN39" s="284">
        <f>(AG39-AF39)*'BCA Constants'!$B$43*'BCA Constants'!$B$9</f>
        <v>2998588.8067669221</v>
      </c>
      <c r="BO39" s="261">
        <f t="shared" si="1"/>
        <v>344061.46133024013</v>
      </c>
      <c r="BP39" s="284">
        <f>(AE39-AD39)*'BCA Constants'!$B$44*'BCA Constants'!$B$9</f>
        <v>2672471.097556395</v>
      </c>
      <c r="BQ39" s="261">
        <f t="shared" si="2"/>
        <v>306642.34759799641</v>
      </c>
      <c r="BR39" s="284">
        <f t="shared" si="17"/>
        <v>25398.900082871201</v>
      </c>
      <c r="BS39" s="261">
        <f t="shared" si="3"/>
        <v>2914.2984389765584</v>
      </c>
      <c r="BT39" s="284">
        <f t="shared" si="18"/>
        <v>3016.1684549704369</v>
      </c>
      <c r="BU39" s="261">
        <f t="shared" si="4"/>
        <v>346.07856999046157</v>
      </c>
      <c r="BV39" s="284">
        <f t="shared" si="19"/>
        <v>98832.82381573692</v>
      </c>
      <c r="BW39" s="261">
        <f t="shared" si="5"/>
        <v>11340.189662783514</v>
      </c>
      <c r="BX39" s="284">
        <f t="shared" si="20"/>
        <v>382046.34343197197</v>
      </c>
      <c r="BY39" s="261">
        <f t="shared" si="6"/>
        <v>148362.74391124462</v>
      </c>
      <c r="BZ39" s="284">
        <f>(BF39-BG39)*'BCA Constants'!$B$248+('Project Benefit Calculations'!BH39-'Project Benefit Calculations'!BI39)*'BCA Constants'!$B$249+('Project Benefit Calculations'!BJ39-'Project Benefit Calculations'!BK39)*'BCA Constants'!$B$250</f>
        <v>6128.2027562896683</v>
      </c>
      <c r="CA39" s="261">
        <f t="shared" si="0"/>
        <v>703.1568953031574</v>
      </c>
      <c r="CB39" s="284">
        <f>(AZ39-BA39)*'BCA Constants'!B$30</f>
        <v>19462.63882500002</v>
      </c>
      <c r="CC39" s="261">
        <f t="shared" si="7"/>
        <v>2233.1651276628922</v>
      </c>
      <c r="CD39" s="284">
        <f>(BB39-BC39)*'BCA Constants'!B$13*'CCTA Output and Adj Factors'!$F$50*'CCTA Output and Adj Factors'!$F$2</f>
        <v>1204112.9475955265</v>
      </c>
      <c r="CE39" s="261">
        <f t="shared" si="7"/>
        <v>138161.27753877192</v>
      </c>
      <c r="CF39" s="284">
        <f>(BB39-BC39)*'BCA Constants'!B$15*(1-'CCTA Output and Adj Factors'!$F$50)*'CCTA Output and Adj Factors'!$F$2</f>
        <v>113931.4438884</v>
      </c>
      <c r="CG39" s="261">
        <f t="shared" ref="CG39" si="41">CF39/(1.07^($A39-$A$7))</f>
        <v>13072.622357305456</v>
      </c>
    </row>
    <row r="40" spans="1:85" x14ac:dyDescent="0.25">
      <c r="A40" s="199">
        <v>2053</v>
      </c>
      <c r="B40" s="200">
        <v>27</v>
      </c>
      <c r="C40" s="301">
        <v>33</v>
      </c>
      <c r="D40" s="258">
        <f>_xlfn.FORECAST.LINEAR(A40,'CCTA Output and Adj Factors'!$B$54:$D$54,'CCTA Output and Adj Factors'!$B$3:$D$3)*'CCTA Output and Adj Factors'!$F$2</f>
        <v>144072.78195488712</v>
      </c>
      <c r="E40" s="310"/>
      <c r="F40" s="258">
        <f>_xlfn.FORECAST.LINEAR(A40,'CCTA Output and Adj Factors'!$B$50:$D$50,'CCTA Output and Adj Factors'!$B$3:$D$3)*'CCTA Output and Adj Factors'!$F$2</f>
        <v>131235.03759398503</v>
      </c>
      <c r="G40" s="295">
        <f>'CCTA Output and Adj Factors'!$F$50*F40</f>
        <v>124673.28571428578</v>
      </c>
      <c r="H40" s="284">
        <f>_xlfn.FORECAST.LINEAR(A40,'CCTA Output and Adj Factors'!$B$51:$D$51,'CCTA Output and Adj Factors'!$B$3:$D$3)*'CCTA Output and Adj Factors'!$F$2</f>
        <v>5664.8872180451172</v>
      </c>
      <c r="I40" s="261"/>
      <c r="J40" s="284">
        <f>_xlfn.FORECAST.LINEAR(A40,'CCTA Output and Adj Factors'!$B$52:$D$52,'CCTA Output and Adj Factors'!$B$3:$D$3)*'CCTA Output and Adj Factors'!$F$2</f>
        <v>748.87218045112854</v>
      </c>
      <c r="K40" s="261"/>
      <c r="L40" s="284">
        <f>_xlfn.FORECAST.LINEAR(A40,'CCTA Output and Adj Factors'!$B$53:$D$53,'CCTA Output and Adj Factors'!$B$3:$D$3)*'CCTA Output and Adj Factors'!$F$2</f>
        <v>6423.9849624060089</v>
      </c>
      <c r="M40" s="295"/>
      <c r="N40" s="258">
        <f>_xlfn.FORECAST.LINEAR(A40,'CCTA Output and Adj Factors'!$B$48:$D$48,'CCTA Output and Adj Factors'!$B$3:$D$3)*'CCTA Output and Adj Factors'!$F$2</f>
        <v>34823.759398496302</v>
      </c>
      <c r="O40" s="259"/>
      <c r="P40" s="258">
        <f>_xlfn.FORECAST.LINEAR(A40,'CCTA Output and Adj Factors'!$B$44:$D$44,'CCTA Output and Adj Factors'!$B$3:$D$3)*'CCTA Output and Adj Factors'!$F$2</f>
        <v>29923.007518796938</v>
      </c>
      <c r="Q40" s="347">
        <f>P40-+(F40-G40)*'CCTA Output and Adj Factors'!$F$45</f>
        <v>26642.131578947312</v>
      </c>
      <c r="R40" s="258">
        <f>_xlfn.FORECAST.LINEAR(A40,'CCTA Output and Adj Factors'!$B$45:$D$45,'CCTA Output and Adj Factors'!$B$3:$D$3)*'CCTA Output and Adj Factors'!$F$2</f>
        <v>4702.6315789473711</v>
      </c>
      <c r="S40" s="347">
        <f>R40+(F40-G40)*'CCTA Output and Adj Factors'!$F$45</f>
        <v>7983.5075187969969</v>
      </c>
      <c r="T40" s="258">
        <f>_xlfn.FORECAST.LINEAR(A40,'CCTA Output and Adj Factors'!$C$46:$D$46,'CCTA Output and Adj Factors'!$C$3:$D$3)*'CCTA Output and Adj Factors'!$F$2</f>
        <v>112.9411764705881</v>
      </c>
      <c r="U40" s="259"/>
      <c r="V40" s="382">
        <f>'CCTA Output and Adj Factors'!$B$47*'CCTA Output and Adj Factors'!$F$2</f>
        <v>90</v>
      </c>
      <c r="W40" s="201"/>
      <c r="X40" s="260">
        <f>_xlfn.FORECAST.LINEAR(A40,'CCTA Output and Adj Factors'!$B$5:$D$5,'CCTA Output and Adj Factors'!$B$3:$D$3)*'CCTA Output and Adj Factors'!$F$2</f>
        <v>109249.02255639105</v>
      </c>
      <c r="Y40" s="259"/>
      <c r="Z40" s="260">
        <f>_xlfn.FORECAST.LINEAR(A40,'CCTA Output and Adj Factors'!$B$38:$D$38,'CCTA Output and Adj Factors'!$B$3:$D$3)*'CCTA Output and Adj Factors'!$F$2</f>
        <v>101312.03007518782</v>
      </c>
      <c r="AA40" s="262"/>
      <c r="AB40" s="284">
        <f>_xlfn.FORECAST.LINEAR(A40,'CCTA Output and Adj Factors'!$B$39:$D$39,'CCTA Output and Adj Factors'!$B$3:$D$3)*'CCTA Output and Adj Factors'!$F$2</f>
        <v>962.25563909774644</v>
      </c>
      <c r="AC40" s="261"/>
      <c r="AD40" s="260">
        <f>_xlfn.FORECAST.LINEAR(A40,'CCTA Output and Adj Factors'!$B$40:$D$40,'CCTA Output and Adj Factors'!$B$3:$D$3)*'CCTA Output and Adj Factors'!$F$2</f>
        <v>640.75187969924878</v>
      </c>
      <c r="AE40" s="262">
        <f>AD40+(F40-G40)*'CCTA Output and Adj Factors'!$F$40</f>
        <v>2281.1898496240619</v>
      </c>
      <c r="AF40" s="258">
        <f>_xlfn.FORECAST.LINEAR(A40,'CCTA Output and Adj Factors'!$B$41:$D$41,'CCTA Output and Adj Factors'!$B$3:$D$3)*'CCTA Output and Adj Factors'!$F$2</f>
        <v>6333.9849624060089</v>
      </c>
      <c r="AG40" s="261">
        <f>AF40+(F40-G40)*'CCTA Output and Adj Factors'!$F$41</f>
        <v>7974.4229323308218</v>
      </c>
      <c r="AH40" s="258">
        <f>_xlfn.FORECAST.LINEAR(A40,'CCTA Output and Adj Factors'!$B$10:$D$10,'CCTA Output and Adj Factors'!$B$3:$D$3)</f>
        <v>193388.22055137856</v>
      </c>
      <c r="AI40" s="259"/>
      <c r="AJ40" s="258">
        <f>_xlfn.FORECAST.LINEAR(A40,'CCTA Output and Adj Factors'!$B$11:$D$11,'CCTA Output and Adj Factors'!$B$3:$D$3)</f>
        <v>255680.2005012529</v>
      </c>
      <c r="AK40" s="259"/>
      <c r="AL40" s="258">
        <f>_xlfn.FORECAST.LINEAR(A40,'CCTA Output and Adj Factors'!$B$12:$D$12,'CCTA Output and Adj Factors'!$B$3:$D$3)</f>
        <v>611784.96240601502</v>
      </c>
      <c r="AM40" s="259"/>
      <c r="AN40" s="258">
        <f>_xlfn.FORECAST.LINEAR(A40,'CCTA Output and Adj Factors'!$B$13:$D$13,'CCTA Output and Adj Factors'!$B$3:$D$3)</f>
        <v>1280924.812030077</v>
      </c>
      <c r="AO40" s="259"/>
      <c r="AP40" s="258">
        <f>_xlfn.FORECAST.LINEAR(A40,'CCTA Output and Adj Factors'!$B$14:$D$14,'CCTA Output and Adj Factors'!$B$3:$D$3)</f>
        <v>842169.42355889827</v>
      </c>
      <c r="AQ40" s="259"/>
      <c r="AR40" s="258">
        <f>_xlfn.FORECAST.LINEAR(A40,'CCTA Output and Adj Factors'!$B$15:$D$15,'CCTA Output and Adj Factors'!$B$3:$D$3)</f>
        <v>336335.58897243161</v>
      </c>
      <c r="AS40" s="259"/>
      <c r="AT40" s="258">
        <f>_xlfn.FORECAST.LINEAR(A40,'CCTA Output and Adj Factors'!$B$16:$D$16,'CCTA Output and Adj Factors'!$B$3:$D$3)</f>
        <v>121350.87719298271</v>
      </c>
      <c r="AU40" s="259"/>
      <c r="AV40" s="258">
        <f>_xlfn.FORECAST.LINEAR(A40,'CCTA Output and Adj Factors'!$B$60:$D$60,'CCTA Output and Adj Factors'!$B$3:$D$3)*'CCTA Output and Adj Factors'!$F$2</f>
        <v>466152.03007518855</v>
      </c>
      <c r="AW40" s="261">
        <f>AV40*'CCTA Output and Adj Factors'!$F$60</f>
        <v>0</v>
      </c>
      <c r="AX40" s="353">
        <f>_xlfn.FORECAST.LINEAR(A40,'CCTA Output and Adj Factors'!$C$61:$D$61,'CCTA Output and Adj Factors'!$C$3:$D$3)*'CCTA Output and Adj Factors'!$F$2</f>
        <v>405541.76999999996</v>
      </c>
      <c r="AY40" s="261"/>
      <c r="AZ40" s="332">
        <f>_xlfn.FORECAST.LINEAR(A40,'CCTA Output and Adj Factors'!$C$62:$D$62,'CCTA Output and Adj Factors'!$C$3:$D$3)*'CCTA Output and Adj Factors'!$F$2</f>
        <v>871021.77</v>
      </c>
      <c r="BA40" s="262">
        <f>AZ40*'CCTA Output and Adj Factors'!$F$61</f>
        <v>827470.68149999995</v>
      </c>
      <c r="BB40" s="353">
        <v>17824487.142749999</v>
      </c>
      <c r="BC40" s="261">
        <v>15437140.092500001</v>
      </c>
      <c r="BD40" s="353">
        <v>633872.23124999995</v>
      </c>
      <c r="BE40" s="261">
        <v>548973.6875</v>
      </c>
      <c r="BF40" s="403">
        <f>(AZ40/1000000)*'BCA Constants'!$B$243</f>
        <v>0.58979322907655996</v>
      </c>
      <c r="BG40" s="404">
        <f>(BA40/1000000)*'BCA Constants'!$B$243</f>
        <v>0.56030356762273192</v>
      </c>
      <c r="BH40" s="403">
        <f>(AZ40/1000000)*'BCA Constants'!$B$244</f>
        <v>0.28274760289032003</v>
      </c>
      <c r="BI40" s="404">
        <f>(BA40/1000000)*'BCA Constants'!$B$244</f>
        <v>0.26861022274580398</v>
      </c>
      <c r="BJ40" s="422">
        <f>(AZ40/1000000)*'BCA Constants'!$B$245</f>
        <v>2.7376214231100001E-3</v>
      </c>
      <c r="BK40" s="416">
        <f>(BA40/1000000)*'BCA Constants'!$B$245</f>
        <v>2.6007403519544997E-3</v>
      </c>
      <c r="BL40" s="399">
        <f>(S40-R40)*'BCA Constants'!$B$81*'BCA Constants'!$B$9</f>
        <v>85302.774436090273</v>
      </c>
      <c r="BM40" s="261">
        <f t="shared" si="10"/>
        <v>9147.4173257244183</v>
      </c>
      <c r="BN40" s="284">
        <f>(AG40-AF40)*'BCA Constants'!$B$43*'BCA Constants'!$B$9</f>
        <v>3019718.2150375959</v>
      </c>
      <c r="BO40" s="261">
        <f t="shared" si="1"/>
        <v>323818.5733306444</v>
      </c>
      <c r="BP40" s="284">
        <f>(AE40-AD40)*'BCA Constants'!$B$44*'BCA Constants'!$B$9</f>
        <v>2691302.5334586487</v>
      </c>
      <c r="BQ40" s="261">
        <f t="shared" si="2"/>
        <v>288601.01662660547</v>
      </c>
      <c r="BR40" s="284">
        <f t="shared" si="17"/>
        <v>25797.121160372277</v>
      </c>
      <c r="BS40" s="261">
        <f t="shared" si="3"/>
        <v>2766.3465182248888</v>
      </c>
      <c r="BT40" s="284">
        <f t="shared" si="18"/>
        <v>3064.1508073819423</v>
      </c>
      <c r="BU40" s="261">
        <f t="shared" si="4"/>
        <v>328.58328898877386</v>
      </c>
      <c r="BV40" s="284">
        <f t="shared" si="19"/>
        <v>100323.95813390194</v>
      </c>
      <c r="BW40" s="261">
        <f t="shared" si="5"/>
        <v>10758.209435577737</v>
      </c>
      <c r="BX40" s="284">
        <f t="shared" si="20"/>
        <v>388391.42461045086</v>
      </c>
      <c r="BY40" s="261">
        <f t="shared" si="6"/>
        <v>146433.7610849062</v>
      </c>
      <c r="BZ40" s="284">
        <f>(BF40-BG40)*'BCA Constants'!$B$248+('Project Benefit Calculations'!BH40-'Project Benefit Calculations'!BI40)*'BCA Constants'!$B$249+('Project Benefit Calculations'!BJ40-'Project Benefit Calculations'!BK40)*'BCA Constants'!$B$250</f>
        <v>6170.8207372697852</v>
      </c>
      <c r="CA40" s="261">
        <f t="shared" si="0"/>
        <v>661.72610327383779</v>
      </c>
      <c r="CB40" s="284">
        <f>(AZ40-BA40)*'BCA Constants'!B$30</f>
        <v>19597.989825000033</v>
      </c>
      <c r="CC40" s="261">
        <f t="shared" si="7"/>
        <v>2101.5845364899337</v>
      </c>
      <c r="CD40" s="284">
        <f>(BB40-BC40)*'BCA Constants'!B$13*'CCTA Output and Adj Factors'!$F$50*'CCTA Output and Adj Factors'!$F$2</f>
        <v>1211101.1585918237</v>
      </c>
      <c r="CE40" s="261">
        <f t="shared" si="7"/>
        <v>129872.06799009629</v>
      </c>
      <c r="CF40" s="284">
        <f>(BB40-BC40)*'BCA Constants'!B$15*(1-'CCTA Output and Adj Factors'!$F$50)*'CCTA Output and Adj Factors'!$F$2</f>
        <v>114592.65841199999</v>
      </c>
      <c r="CG40" s="261">
        <f t="shared" ref="CG40" si="42">CF40/(1.07^($A40-$A$7))</f>
        <v>12288.309212546084</v>
      </c>
    </row>
    <row r="41" spans="1:85" x14ac:dyDescent="0.25">
      <c r="A41" s="204">
        <v>2054</v>
      </c>
      <c r="B41" s="200">
        <v>28</v>
      </c>
      <c r="C41" s="301">
        <v>34</v>
      </c>
      <c r="D41" s="199"/>
      <c r="E41" s="310"/>
      <c r="F41" s="199"/>
      <c r="G41" s="297"/>
      <c r="H41" s="263"/>
      <c r="I41" s="293"/>
      <c r="J41" s="263"/>
      <c r="K41" s="293"/>
      <c r="L41" s="263"/>
      <c r="M41" s="297"/>
      <c r="N41" s="258"/>
      <c r="O41" s="259"/>
      <c r="P41" s="258"/>
      <c r="Q41" s="347"/>
      <c r="R41" s="258"/>
      <c r="S41" s="347"/>
      <c r="T41" s="258"/>
      <c r="U41" s="259"/>
      <c r="V41" s="199"/>
      <c r="W41" s="201"/>
      <c r="X41" s="202"/>
      <c r="Y41" s="73"/>
      <c r="Z41" s="202"/>
      <c r="AA41" s="203"/>
      <c r="AB41" s="72"/>
      <c r="AC41" s="73"/>
      <c r="AD41" s="202"/>
      <c r="AE41" s="203"/>
      <c r="AF41" s="72"/>
      <c r="AG41" s="73"/>
      <c r="AH41" s="72"/>
      <c r="AI41" s="73"/>
      <c r="AJ41" s="72"/>
      <c r="AK41" s="73"/>
      <c r="AL41" s="72"/>
      <c r="AM41" s="73"/>
      <c r="AN41" s="72"/>
      <c r="AO41" s="73"/>
      <c r="AP41" s="72"/>
      <c r="AQ41" s="73"/>
      <c r="AR41" s="72"/>
      <c r="AS41" s="73"/>
      <c r="AT41" s="72"/>
      <c r="AU41" s="73"/>
      <c r="AV41" s="72"/>
      <c r="AW41" s="73"/>
      <c r="AX41" s="72"/>
      <c r="AY41" s="73"/>
      <c r="AZ41" s="72"/>
      <c r="BA41" s="203"/>
      <c r="BB41" s="518"/>
      <c r="BC41" s="519"/>
      <c r="BD41" s="518"/>
      <c r="BE41" s="519"/>
      <c r="BF41" s="403"/>
      <c r="BG41" s="404"/>
      <c r="BH41" s="403"/>
      <c r="BI41" s="404"/>
      <c r="BJ41" s="417"/>
      <c r="BK41" s="418"/>
      <c r="BL41" s="202"/>
      <c r="BM41" s="73"/>
      <c r="BN41" s="72"/>
      <c r="BO41" s="261"/>
      <c r="BP41" s="72"/>
      <c r="BQ41" s="261"/>
      <c r="BR41" s="72"/>
      <c r="BS41" s="261"/>
      <c r="BT41" s="72"/>
      <c r="BU41" s="261"/>
      <c r="BV41" s="72"/>
      <c r="BW41" s="261"/>
      <c r="BX41" s="72"/>
      <c r="BY41" s="261"/>
      <c r="BZ41" s="72"/>
      <c r="CA41" s="261"/>
      <c r="CB41" s="72"/>
      <c r="CC41" s="261"/>
      <c r="CD41" s="72"/>
      <c r="CE41" s="261"/>
      <c r="CF41" s="518"/>
      <c r="CG41" s="261"/>
    </row>
    <row r="42" spans="1:85" x14ac:dyDescent="0.25">
      <c r="A42" s="199">
        <v>2055</v>
      </c>
      <c r="B42" s="200">
        <v>29</v>
      </c>
      <c r="C42" s="301">
        <v>35</v>
      </c>
      <c r="D42" s="199"/>
      <c r="E42" s="310"/>
      <c r="F42" s="199"/>
      <c r="G42" s="297"/>
      <c r="H42" s="263"/>
      <c r="I42" s="293"/>
      <c r="J42" s="263"/>
      <c r="K42" s="293"/>
      <c r="L42" s="263"/>
      <c r="M42" s="297"/>
      <c r="N42" s="258"/>
      <c r="O42" s="259"/>
      <c r="P42" s="258"/>
      <c r="Q42" s="347"/>
      <c r="R42" s="258"/>
      <c r="S42" s="347"/>
      <c r="T42" s="258"/>
      <c r="U42" s="259"/>
      <c r="V42" s="199"/>
      <c r="W42" s="201"/>
      <c r="X42" s="202"/>
      <c r="Y42" s="73"/>
      <c r="Z42" s="202"/>
      <c r="AA42" s="203"/>
      <c r="AB42" s="72"/>
      <c r="AC42" s="73"/>
      <c r="AD42" s="202"/>
      <c r="AE42" s="203"/>
      <c r="AF42" s="72"/>
      <c r="AG42" s="73"/>
      <c r="AH42" s="72"/>
      <c r="AI42" s="73"/>
      <c r="AJ42" s="72"/>
      <c r="AK42" s="73"/>
      <c r="AL42" s="72"/>
      <c r="AM42" s="73"/>
      <c r="AN42" s="72"/>
      <c r="AO42" s="73"/>
      <c r="AP42" s="72"/>
      <c r="AQ42" s="73"/>
      <c r="AR42" s="72"/>
      <c r="AS42" s="73"/>
      <c r="AT42" s="72"/>
      <c r="AU42" s="73"/>
      <c r="AV42" s="72"/>
      <c r="AW42" s="73"/>
      <c r="AX42" s="72"/>
      <c r="AY42" s="73"/>
      <c r="AZ42" s="72"/>
      <c r="BA42" s="203"/>
      <c r="BB42" s="518"/>
      <c r="BC42" s="519"/>
      <c r="BD42" s="518"/>
      <c r="BE42" s="519"/>
      <c r="BF42" s="403"/>
      <c r="BG42" s="404"/>
      <c r="BH42" s="403"/>
      <c r="BI42" s="404"/>
      <c r="BJ42" s="417"/>
      <c r="BK42" s="418"/>
      <c r="BL42" s="202"/>
      <c r="BM42" s="73"/>
      <c r="BN42" s="72"/>
      <c r="BO42" s="261"/>
      <c r="BP42" s="72"/>
      <c r="BQ42" s="261"/>
      <c r="BR42" s="72"/>
      <c r="BS42" s="261"/>
      <c r="BT42" s="72"/>
      <c r="BU42" s="261"/>
      <c r="BV42" s="72"/>
      <c r="BW42" s="261"/>
      <c r="BX42" s="72"/>
      <c r="BY42" s="261"/>
      <c r="BZ42" s="72"/>
      <c r="CA42" s="261"/>
      <c r="CB42" s="72"/>
      <c r="CC42" s="261"/>
      <c r="CD42" s="72"/>
      <c r="CE42" s="261"/>
      <c r="CF42" s="518"/>
      <c r="CG42" s="261"/>
    </row>
    <row r="43" spans="1:85" x14ac:dyDescent="0.25">
      <c r="A43" s="204">
        <v>2056</v>
      </c>
      <c r="B43" s="200">
        <v>30</v>
      </c>
      <c r="C43" s="301">
        <v>36</v>
      </c>
      <c r="D43" s="199"/>
      <c r="E43" s="310"/>
      <c r="F43" s="199"/>
      <c r="G43" s="297"/>
      <c r="H43" s="263"/>
      <c r="I43" s="293"/>
      <c r="J43" s="263"/>
      <c r="K43" s="293"/>
      <c r="L43" s="263"/>
      <c r="M43" s="297"/>
      <c r="N43" s="258"/>
      <c r="O43" s="259"/>
      <c r="P43" s="258"/>
      <c r="Q43" s="347"/>
      <c r="R43" s="258"/>
      <c r="S43" s="347"/>
      <c r="T43" s="258"/>
      <c r="U43" s="259"/>
      <c r="V43" s="199"/>
      <c r="W43" s="201"/>
      <c r="X43" s="202"/>
      <c r="Y43" s="73"/>
      <c r="Z43" s="202"/>
      <c r="AA43" s="203"/>
      <c r="AB43" s="72"/>
      <c r="AC43" s="73"/>
      <c r="AD43" s="202"/>
      <c r="AE43" s="203"/>
      <c r="AF43" s="72"/>
      <c r="AG43" s="73"/>
      <c r="AH43" s="72"/>
      <c r="AI43" s="73"/>
      <c r="AJ43" s="72"/>
      <c r="AK43" s="73"/>
      <c r="AL43" s="72"/>
      <c r="AM43" s="73"/>
      <c r="AN43" s="72"/>
      <c r="AO43" s="73"/>
      <c r="AP43" s="72"/>
      <c r="AQ43" s="73"/>
      <c r="AR43" s="72"/>
      <c r="AS43" s="73"/>
      <c r="AT43" s="72"/>
      <c r="AU43" s="73"/>
      <c r="AV43" s="72"/>
      <c r="AW43" s="73"/>
      <c r="AX43" s="72"/>
      <c r="AY43" s="73"/>
      <c r="AZ43" s="72"/>
      <c r="BA43" s="203"/>
      <c r="BB43" s="518"/>
      <c r="BC43" s="519"/>
      <c r="BD43" s="518"/>
      <c r="BE43" s="519"/>
      <c r="BF43" s="403"/>
      <c r="BG43" s="404"/>
      <c r="BH43" s="403"/>
      <c r="BI43" s="404"/>
      <c r="BJ43" s="417"/>
      <c r="BK43" s="418"/>
      <c r="BL43" s="202"/>
      <c r="BM43" s="73"/>
      <c r="BN43" s="72"/>
      <c r="BO43" s="261"/>
      <c r="BP43" s="72"/>
      <c r="BQ43" s="261"/>
      <c r="BR43" s="72"/>
      <c r="BS43" s="261"/>
      <c r="BT43" s="72"/>
      <c r="BU43" s="261"/>
      <c r="BV43" s="72"/>
      <c r="BW43" s="261"/>
      <c r="BX43" s="72"/>
      <c r="BY43" s="261"/>
      <c r="BZ43" s="72"/>
      <c r="CA43" s="261"/>
      <c r="CB43" s="72"/>
      <c r="CC43" s="261"/>
      <c r="CD43" s="72"/>
      <c r="CE43" s="261"/>
      <c r="CF43" s="518"/>
      <c r="CG43" s="261"/>
    </row>
    <row r="44" spans="1:85" ht="15.75" thickBot="1" x14ac:dyDescent="0.3">
      <c r="A44" s="207">
        <v>2057</v>
      </c>
      <c r="B44" s="208">
        <v>31</v>
      </c>
      <c r="C44" s="305">
        <v>37</v>
      </c>
      <c r="D44" s="207"/>
      <c r="E44" s="313"/>
      <c r="F44" s="207"/>
      <c r="G44" s="321"/>
      <c r="H44" s="324"/>
      <c r="I44" s="325"/>
      <c r="J44" s="324"/>
      <c r="K44" s="325"/>
      <c r="L44" s="324"/>
      <c r="M44" s="321"/>
      <c r="N44" s="343"/>
      <c r="O44" s="344"/>
      <c r="P44" s="343"/>
      <c r="Q44" s="425"/>
      <c r="R44" s="343"/>
      <c r="S44" s="425"/>
      <c r="T44" s="343"/>
      <c r="U44" s="344"/>
      <c r="V44" s="207"/>
      <c r="W44" s="209"/>
      <c r="X44" s="212"/>
      <c r="Y44" s="211"/>
      <c r="Z44" s="212"/>
      <c r="AA44" s="213"/>
      <c r="AB44" s="210"/>
      <c r="AC44" s="211"/>
      <c r="AD44" s="212"/>
      <c r="AE44" s="213"/>
      <c r="AF44" s="210"/>
      <c r="AG44" s="211"/>
      <c r="AH44" s="210"/>
      <c r="AI44" s="211"/>
      <c r="AJ44" s="210"/>
      <c r="AK44" s="211"/>
      <c r="AL44" s="210"/>
      <c r="AM44" s="211"/>
      <c r="AN44" s="210"/>
      <c r="AO44" s="211"/>
      <c r="AP44" s="210"/>
      <c r="AQ44" s="211"/>
      <c r="AR44" s="210"/>
      <c r="AS44" s="211"/>
      <c r="AT44" s="210"/>
      <c r="AU44" s="211"/>
      <c r="AV44" s="210"/>
      <c r="AW44" s="211"/>
      <c r="AX44" s="210"/>
      <c r="AY44" s="211"/>
      <c r="AZ44" s="210"/>
      <c r="BA44" s="213"/>
      <c r="BB44" s="210"/>
      <c r="BC44" s="211"/>
      <c r="BD44" s="210"/>
      <c r="BE44" s="211"/>
      <c r="BF44" s="407"/>
      <c r="BG44" s="408"/>
      <c r="BH44" s="407"/>
      <c r="BI44" s="408"/>
      <c r="BJ44" s="419"/>
      <c r="BK44" s="420"/>
      <c r="BL44" s="212"/>
      <c r="BM44" s="211"/>
      <c r="BN44" s="210"/>
      <c r="BO44" s="261"/>
      <c r="BP44" s="210"/>
      <c r="BQ44" s="426"/>
      <c r="BR44" s="210"/>
      <c r="BS44" s="426"/>
      <c r="BT44" s="210"/>
      <c r="BU44" s="426"/>
      <c r="BV44" s="210"/>
      <c r="BW44" s="426"/>
      <c r="BX44" s="210"/>
      <c r="BY44" s="426"/>
      <c r="BZ44" s="210"/>
      <c r="CA44" s="426"/>
      <c r="CB44" s="210"/>
      <c r="CC44" s="426"/>
      <c r="CD44" s="210"/>
      <c r="CE44" s="426"/>
      <c r="CF44" s="210"/>
      <c r="CG44" s="426"/>
    </row>
    <row r="45" spans="1:85" x14ac:dyDescent="0.25">
      <c r="A45" s="375" t="s">
        <v>397</v>
      </c>
      <c r="BF45" s="406"/>
      <c r="BG45" s="406"/>
      <c r="BH45" s="423"/>
      <c r="BI45" s="405"/>
    </row>
    <row r="46" spans="1:85" x14ac:dyDescent="0.25">
      <c r="X46" s="37"/>
      <c r="Y46" s="37"/>
      <c r="BF46" s="9"/>
      <c r="BG46" s="9"/>
    </row>
    <row r="47" spans="1:85" x14ac:dyDescent="0.25">
      <c r="C47" s="1"/>
      <c r="D47" s="1"/>
      <c r="E47" s="1"/>
      <c r="F47" s="1"/>
      <c r="G47" s="1"/>
      <c r="H47" s="1"/>
      <c r="I47" s="1"/>
      <c r="J47" s="1"/>
      <c r="K47" s="1"/>
      <c r="L47" s="1"/>
      <c r="M47" s="1"/>
      <c r="N47" s="1"/>
      <c r="O47" s="1"/>
      <c r="P47" s="1"/>
      <c r="Q47" s="1"/>
      <c r="R47" s="1"/>
      <c r="S47" s="1"/>
      <c r="T47" s="1"/>
      <c r="U47" s="1"/>
      <c r="V47" s="1"/>
      <c r="W47" s="1"/>
      <c r="BH47" s="424"/>
    </row>
    <row r="56" spans="3:23" x14ac:dyDescent="0.25">
      <c r="C56" s="3"/>
      <c r="D56" s="267"/>
      <c r="E56" s="267"/>
      <c r="F56" s="267"/>
      <c r="G56" s="267"/>
      <c r="H56" s="267"/>
      <c r="I56" s="267"/>
      <c r="J56" s="267"/>
      <c r="K56" s="267"/>
      <c r="L56" s="267"/>
      <c r="M56" s="267"/>
      <c r="N56" s="267"/>
      <c r="O56" s="267"/>
      <c r="P56" s="267"/>
      <c r="Q56" s="267"/>
      <c r="R56" s="267"/>
      <c r="S56" s="267"/>
      <c r="T56" s="267"/>
      <c r="U56" s="267"/>
      <c r="V56" s="267"/>
      <c r="W56" s="267"/>
    </row>
  </sheetData>
  <mergeCells count="48">
    <mergeCell ref="CB3:CC3"/>
    <mergeCell ref="CD3:CE3"/>
    <mergeCell ref="BB3:BC3"/>
    <mergeCell ref="BD3:BE3"/>
    <mergeCell ref="CF3:CG3"/>
    <mergeCell ref="BZ3:CA3"/>
    <mergeCell ref="X2:AG2"/>
    <mergeCell ref="P3:Q3"/>
    <mergeCell ref="R3:S3"/>
    <mergeCell ref="T3:U3"/>
    <mergeCell ref="V3:W3"/>
    <mergeCell ref="AB3:AC3"/>
    <mergeCell ref="A3:A4"/>
    <mergeCell ref="B3:B4"/>
    <mergeCell ref="C3:C4"/>
    <mergeCell ref="X3:Y3"/>
    <mergeCell ref="Z3:AA3"/>
    <mergeCell ref="F3:G3"/>
    <mergeCell ref="N3:O3"/>
    <mergeCell ref="D3:E3"/>
    <mergeCell ref="H3:I3"/>
    <mergeCell ref="J3:K3"/>
    <mergeCell ref="L3:M3"/>
    <mergeCell ref="BX3:BY3"/>
    <mergeCell ref="AR3:AS3"/>
    <mergeCell ref="AT3:AU3"/>
    <mergeCell ref="AV3:AW3"/>
    <mergeCell ref="AN3:AO3"/>
    <mergeCell ref="AP3:AQ3"/>
    <mergeCell ref="BF3:BG3"/>
    <mergeCell ref="BH3:BI3"/>
    <mergeCell ref="BJ3:BK3"/>
    <mergeCell ref="A1:C1"/>
    <mergeCell ref="BL3:BM3"/>
    <mergeCell ref="BR3:BS3"/>
    <mergeCell ref="BT3:BU3"/>
    <mergeCell ref="BV3:BW3"/>
    <mergeCell ref="D2:M2"/>
    <mergeCell ref="N2:W2"/>
    <mergeCell ref="AD3:AE3"/>
    <mergeCell ref="AF3:AG3"/>
    <mergeCell ref="AZ3:BA3"/>
    <mergeCell ref="BN3:BO3"/>
    <mergeCell ref="BP3:BQ3"/>
    <mergeCell ref="AX3:AY3"/>
    <mergeCell ref="AH3:AI3"/>
    <mergeCell ref="AJ3:AK3"/>
    <mergeCell ref="AL3:AM3"/>
  </mergeCells>
  <pageMargins left="0.7" right="0.7" top="0.75" bottom="0.75" header="0.3" footer="0.3"/>
  <pageSetup scale="14" orientation="landscape" horizontalDpi="300" verticalDpi="300" r:id="rId1"/>
  <headerFooter>
    <oddHeader>&amp;LBCA Analysis&amp;CI-680 MOD</oddHeader>
    <oddFooter>&amp;RPage 5 of 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14DFE-177B-45FB-9043-BD9561F7824B}">
  <dimension ref="A1:K64"/>
  <sheetViews>
    <sheetView workbookViewId="0">
      <selection activeCell="B5" sqref="B5:E41"/>
    </sheetView>
  </sheetViews>
  <sheetFormatPr defaultRowHeight="15" x14ac:dyDescent="0.25"/>
  <cols>
    <col min="1" max="1" width="8.7109375" style="481"/>
    <col min="2" max="3" width="11.140625" bestFit="1" customWidth="1"/>
    <col min="4" max="5" width="8.5703125" bestFit="1" customWidth="1"/>
  </cols>
  <sheetData>
    <row r="1" spans="1:11" x14ac:dyDescent="0.25">
      <c r="B1" s="481"/>
      <c r="C1" s="481"/>
      <c r="D1" s="481"/>
      <c r="E1" s="481"/>
    </row>
    <row r="2" spans="1:11" ht="19.5" thickBot="1" x14ac:dyDescent="0.35">
      <c r="A2" s="511" t="s">
        <v>494</v>
      </c>
      <c r="B2" s="481"/>
      <c r="C2" s="481"/>
      <c r="D2" s="481"/>
      <c r="E2" s="481"/>
    </row>
    <row r="3" spans="1:11" x14ac:dyDescent="0.25">
      <c r="A3" s="556" t="s">
        <v>1</v>
      </c>
      <c r="B3" s="542" t="s">
        <v>492</v>
      </c>
      <c r="C3" s="543"/>
      <c r="D3" s="544" t="s">
        <v>493</v>
      </c>
      <c r="E3" s="545"/>
    </row>
    <row r="4" spans="1:11" ht="15.75" thickBot="1" x14ac:dyDescent="0.3">
      <c r="A4" s="557"/>
      <c r="B4" s="508" t="s">
        <v>16</v>
      </c>
      <c r="C4" s="509" t="s">
        <v>18</v>
      </c>
      <c r="D4" s="482" t="s">
        <v>16</v>
      </c>
      <c r="E4" s="483" t="s">
        <v>18</v>
      </c>
    </row>
    <row r="5" spans="1:11" x14ac:dyDescent="0.25">
      <c r="A5" s="520">
        <v>2021</v>
      </c>
      <c r="B5" s="506">
        <v>8474560.6279582195</v>
      </c>
      <c r="C5" s="507">
        <v>8474560.6279582195</v>
      </c>
      <c r="D5" s="504">
        <v>301371.28833421838</v>
      </c>
      <c r="E5" s="505">
        <v>301371.28833421838</v>
      </c>
      <c r="K5" s="510"/>
    </row>
    <row r="6" spans="1:11" x14ac:dyDescent="0.25">
      <c r="A6" s="512">
        <v>2022</v>
      </c>
      <c r="B6" s="484">
        <v>8560162.2504628487</v>
      </c>
      <c r="C6" s="494">
        <v>8560162.2504628487</v>
      </c>
      <c r="D6" s="488">
        <v>304415.44276183675</v>
      </c>
      <c r="E6" s="489">
        <v>304415.44276183675</v>
      </c>
    </row>
    <row r="7" spans="1:11" x14ac:dyDescent="0.25">
      <c r="A7" s="512">
        <v>2023</v>
      </c>
      <c r="B7" s="484">
        <v>8560162.2504628487</v>
      </c>
      <c r="C7" s="494">
        <v>8560162.2504628487</v>
      </c>
      <c r="D7" s="488">
        <v>304415.44276183675</v>
      </c>
      <c r="E7" s="489">
        <v>304415.44276183675</v>
      </c>
    </row>
    <row r="8" spans="1:11" x14ac:dyDescent="0.25">
      <c r="A8" s="512">
        <v>2024</v>
      </c>
      <c r="B8" s="484">
        <v>8646628.5358210579</v>
      </c>
      <c r="C8" s="494">
        <v>8646628.5358210579</v>
      </c>
      <c r="D8" s="488">
        <v>307490.34622407751</v>
      </c>
      <c r="E8" s="489">
        <v>307490.34622407751</v>
      </c>
    </row>
    <row r="9" spans="1:11" x14ac:dyDescent="0.25">
      <c r="A9" s="512">
        <v>2025</v>
      </c>
      <c r="B9" s="484">
        <v>8733968.2180010695</v>
      </c>
      <c r="C9" s="494">
        <v>8733968.2180010695</v>
      </c>
      <c r="D9" s="488">
        <v>310596.30931725004</v>
      </c>
      <c r="E9" s="489">
        <v>310596.30931725004</v>
      </c>
    </row>
    <row r="10" spans="1:11" x14ac:dyDescent="0.25">
      <c r="A10" s="512">
        <v>2026</v>
      </c>
      <c r="B10" s="484">
        <v>8822190.1191929989</v>
      </c>
      <c r="C10" s="494">
        <v>8822190.1191929989</v>
      </c>
      <c r="D10" s="488">
        <v>313733.64577499998</v>
      </c>
      <c r="E10" s="489">
        <v>313733.64577499998</v>
      </c>
    </row>
    <row r="11" spans="1:11" x14ac:dyDescent="0.25">
      <c r="A11" s="513">
        <v>2027</v>
      </c>
      <c r="B11" s="485">
        <v>8911303.1506999992</v>
      </c>
      <c r="C11" s="495">
        <v>6882113.9673999995</v>
      </c>
      <c r="D11" s="490">
        <v>316902.67249999999</v>
      </c>
      <c r="E11" s="491">
        <v>244740.89500000005</v>
      </c>
    </row>
    <row r="12" spans="1:11" x14ac:dyDescent="0.25">
      <c r="A12" s="514">
        <v>2028</v>
      </c>
      <c r="B12" s="486">
        <v>9254117.9196249992</v>
      </c>
      <c r="C12" s="496">
        <v>7211153.4337499989</v>
      </c>
      <c r="D12" s="492">
        <v>329093.80937499995</v>
      </c>
      <c r="E12" s="493">
        <v>256442.15625000003</v>
      </c>
    </row>
    <row r="13" spans="1:11" x14ac:dyDescent="0.25">
      <c r="A13" s="515">
        <v>2029</v>
      </c>
      <c r="B13" s="487">
        <v>9596932.6885499973</v>
      </c>
      <c r="C13" s="497">
        <v>7540192.9001000002</v>
      </c>
      <c r="D13" s="498">
        <v>341284.94624999998</v>
      </c>
      <c r="E13" s="499">
        <v>268143.4175000001</v>
      </c>
    </row>
    <row r="14" spans="1:11" x14ac:dyDescent="0.25">
      <c r="A14" s="514">
        <v>2030</v>
      </c>
      <c r="B14" s="487">
        <v>9939747.457475001</v>
      </c>
      <c r="C14" s="497">
        <v>7869232.3664499987</v>
      </c>
      <c r="D14" s="498">
        <v>353476.08312500006</v>
      </c>
      <c r="E14" s="499">
        <v>279844.67874999996</v>
      </c>
    </row>
    <row r="15" spans="1:11" x14ac:dyDescent="0.25">
      <c r="A15" s="515">
        <v>2031</v>
      </c>
      <c r="B15" s="487">
        <v>10282562.226399997</v>
      </c>
      <c r="C15" s="497">
        <v>8198271.8328</v>
      </c>
      <c r="D15" s="498">
        <v>365667.22</v>
      </c>
      <c r="E15" s="499">
        <v>291545.94</v>
      </c>
    </row>
    <row r="16" spans="1:11" x14ac:dyDescent="0.25">
      <c r="A16" s="514">
        <v>2032</v>
      </c>
      <c r="B16" s="487">
        <v>10625376.995324999</v>
      </c>
      <c r="C16" s="497">
        <v>8527311.2991500013</v>
      </c>
      <c r="D16" s="498">
        <v>377858.356875</v>
      </c>
      <c r="E16" s="499">
        <v>303247.2012500001</v>
      </c>
    </row>
    <row r="17" spans="1:5" x14ac:dyDescent="0.25">
      <c r="A17" s="515">
        <v>2033</v>
      </c>
      <c r="B17" s="487">
        <v>10968191.764249999</v>
      </c>
      <c r="C17" s="497">
        <v>8856350.7654999997</v>
      </c>
      <c r="D17" s="498">
        <v>390049.49375000002</v>
      </c>
      <c r="E17" s="499">
        <v>314948.46250000002</v>
      </c>
    </row>
    <row r="18" spans="1:5" x14ac:dyDescent="0.25">
      <c r="A18" s="514">
        <v>2034</v>
      </c>
      <c r="B18" s="487">
        <v>11311006.533174999</v>
      </c>
      <c r="C18" s="497">
        <v>9185390.2318500001</v>
      </c>
      <c r="D18" s="498">
        <v>402240.63062499999</v>
      </c>
      <c r="E18" s="499">
        <v>326649.72375000006</v>
      </c>
    </row>
    <row r="19" spans="1:5" x14ac:dyDescent="0.25">
      <c r="A19" s="515">
        <v>2035</v>
      </c>
      <c r="B19" s="487">
        <v>11653821.302099999</v>
      </c>
      <c r="C19" s="497">
        <v>9514429.6982000005</v>
      </c>
      <c r="D19" s="498">
        <v>414431.76749999996</v>
      </c>
      <c r="E19" s="499">
        <v>338350.98500000004</v>
      </c>
    </row>
    <row r="20" spans="1:5" x14ac:dyDescent="0.25">
      <c r="A20" s="514">
        <v>2036</v>
      </c>
      <c r="B20" s="487">
        <v>11996636.071024997</v>
      </c>
      <c r="C20" s="497">
        <v>9843469.1645499989</v>
      </c>
      <c r="D20" s="498">
        <v>426622.90437499998</v>
      </c>
      <c r="E20" s="499">
        <v>350052.24625000003</v>
      </c>
    </row>
    <row r="21" spans="1:5" x14ac:dyDescent="0.25">
      <c r="A21" s="515">
        <v>2037</v>
      </c>
      <c r="B21" s="487">
        <v>12339450.839949999</v>
      </c>
      <c r="C21" s="497">
        <v>10172508.630900001</v>
      </c>
      <c r="D21" s="498">
        <v>438814.04125000001</v>
      </c>
      <c r="E21" s="499">
        <v>361753.50750000007</v>
      </c>
    </row>
    <row r="22" spans="1:5" x14ac:dyDescent="0.25">
      <c r="A22" s="514">
        <v>2038</v>
      </c>
      <c r="B22" s="487">
        <v>12682265.608874999</v>
      </c>
      <c r="C22" s="497">
        <v>10501548.09725</v>
      </c>
      <c r="D22" s="498">
        <v>451005.17812499998</v>
      </c>
      <c r="E22" s="499">
        <v>373454.76875000005</v>
      </c>
    </row>
    <row r="23" spans="1:5" x14ac:dyDescent="0.25">
      <c r="A23" s="515">
        <v>2039</v>
      </c>
      <c r="B23" s="487">
        <v>13025080.377800001</v>
      </c>
      <c r="C23" s="497">
        <v>10830587.5636</v>
      </c>
      <c r="D23" s="498">
        <v>463196.31500000006</v>
      </c>
      <c r="E23" s="499">
        <v>385156.02999999997</v>
      </c>
    </row>
    <row r="24" spans="1:5" x14ac:dyDescent="0.25">
      <c r="A24" s="514">
        <v>2040</v>
      </c>
      <c r="B24" s="487">
        <v>13367895.146725003</v>
      </c>
      <c r="C24" s="497">
        <v>11159627.029949998</v>
      </c>
      <c r="D24" s="498">
        <v>475387.45187500003</v>
      </c>
      <c r="E24" s="499">
        <v>396857.29125000001</v>
      </c>
    </row>
    <row r="25" spans="1:5" x14ac:dyDescent="0.25">
      <c r="A25" s="515">
        <v>2041</v>
      </c>
      <c r="B25" s="487">
        <v>13710709.915650001</v>
      </c>
      <c r="C25" s="497">
        <v>11488666.496299999</v>
      </c>
      <c r="D25" s="498">
        <v>487578.58875</v>
      </c>
      <c r="E25" s="499">
        <v>408558.55250000005</v>
      </c>
    </row>
    <row r="26" spans="1:5" x14ac:dyDescent="0.25">
      <c r="A26" s="514">
        <v>2042</v>
      </c>
      <c r="B26" s="487">
        <v>14053524.684574999</v>
      </c>
      <c r="C26" s="497">
        <v>11817705.962650001</v>
      </c>
      <c r="D26" s="498">
        <v>499769.72562500002</v>
      </c>
      <c r="E26" s="499">
        <v>420259.81375000003</v>
      </c>
    </row>
    <row r="27" spans="1:5" x14ac:dyDescent="0.25">
      <c r="A27" s="515">
        <v>2043</v>
      </c>
      <c r="B27" s="487">
        <v>14396339.453499997</v>
      </c>
      <c r="C27" s="497">
        <v>12146745.429</v>
      </c>
      <c r="D27" s="498">
        <v>511960.86250000005</v>
      </c>
      <c r="E27" s="499">
        <v>431961.07500000007</v>
      </c>
    </row>
    <row r="28" spans="1:5" x14ac:dyDescent="0.25">
      <c r="A28" s="514">
        <v>2044</v>
      </c>
      <c r="B28" s="487">
        <v>14739154.222424999</v>
      </c>
      <c r="C28" s="497">
        <v>12475784.89535</v>
      </c>
      <c r="D28" s="498">
        <v>524151.99937500001</v>
      </c>
      <c r="E28" s="499">
        <v>443662.33625000005</v>
      </c>
    </row>
    <row r="29" spans="1:5" x14ac:dyDescent="0.25">
      <c r="A29" s="515">
        <v>2045</v>
      </c>
      <c r="B29" s="487">
        <v>15081968.991350001</v>
      </c>
      <c r="C29" s="497">
        <v>12804824.3617</v>
      </c>
      <c r="D29" s="498">
        <v>536343.13624999998</v>
      </c>
      <c r="E29" s="499">
        <v>455363.59750000003</v>
      </c>
    </row>
    <row r="30" spans="1:5" x14ac:dyDescent="0.25">
      <c r="A30" s="514">
        <v>2046</v>
      </c>
      <c r="B30" s="487">
        <v>15424783.760275001</v>
      </c>
      <c r="C30" s="497">
        <v>13133863.828050002</v>
      </c>
      <c r="D30" s="498">
        <v>548534.27312500007</v>
      </c>
      <c r="E30" s="499">
        <v>467064.85875000013</v>
      </c>
    </row>
    <row r="31" spans="1:5" x14ac:dyDescent="0.25">
      <c r="A31" s="513">
        <v>2047</v>
      </c>
      <c r="B31" s="485">
        <v>15767598.529200001</v>
      </c>
      <c r="C31" s="495">
        <v>13462903.294399999</v>
      </c>
      <c r="D31" s="490">
        <v>560725.41</v>
      </c>
      <c r="E31" s="491">
        <v>478766.12000000005</v>
      </c>
    </row>
    <row r="32" spans="1:5" x14ac:dyDescent="0.25">
      <c r="A32" s="514">
        <v>2048</v>
      </c>
      <c r="B32" s="487">
        <v>16110413.298124999</v>
      </c>
      <c r="C32" s="497">
        <v>13791942.760750001</v>
      </c>
      <c r="D32" s="498">
        <v>572916.546875</v>
      </c>
      <c r="E32" s="499">
        <v>490467.38125000015</v>
      </c>
    </row>
    <row r="33" spans="1:5" x14ac:dyDescent="0.25">
      <c r="A33" s="515">
        <v>2049</v>
      </c>
      <c r="B33" s="487">
        <v>16453228.067049997</v>
      </c>
      <c r="C33" s="497">
        <v>14120982.227100002</v>
      </c>
      <c r="D33" s="498">
        <v>585107.68374999997</v>
      </c>
      <c r="E33" s="499">
        <v>502168.64250000007</v>
      </c>
    </row>
    <row r="34" spans="1:5" x14ac:dyDescent="0.25">
      <c r="A34" s="514">
        <v>2050</v>
      </c>
      <c r="B34" s="487">
        <v>16796042.835975002</v>
      </c>
      <c r="C34" s="497">
        <v>14450021.693450002</v>
      </c>
      <c r="D34" s="498">
        <v>597298.82062500005</v>
      </c>
      <c r="E34" s="499">
        <v>513869.90375000006</v>
      </c>
    </row>
    <row r="35" spans="1:5" x14ac:dyDescent="0.25">
      <c r="A35" s="515">
        <v>2051</v>
      </c>
      <c r="B35" s="487">
        <v>17138857.604900002</v>
      </c>
      <c r="C35" s="497">
        <v>14779061.159799999</v>
      </c>
      <c r="D35" s="498">
        <v>609489.95750000014</v>
      </c>
      <c r="E35" s="499">
        <v>525571.16500000015</v>
      </c>
    </row>
    <row r="36" spans="1:5" x14ac:dyDescent="0.25">
      <c r="A36" s="514">
        <v>2052</v>
      </c>
      <c r="B36" s="487">
        <v>17481672.373824999</v>
      </c>
      <c r="C36" s="497">
        <v>15108100.626150001</v>
      </c>
      <c r="D36" s="498">
        <v>621681.09437499999</v>
      </c>
      <c r="E36" s="499">
        <v>537272.42625000002</v>
      </c>
    </row>
    <row r="37" spans="1:5" x14ac:dyDescent="0.25">
      <c r="A37" s="515">
        <v>2053</v>
      </c>
      <c r="B37" s="487">
        <v>17824487.142749999</v>
      </c>
      <c r="C37" s="497">
        <v>15437140.092500001</v>
      </c>
      <c r="D37" s="498">
        <v>633872.23124999995</v>
      </c>
      <c r="E37" s="499">
        <v>548973.6875</v>
      </c>
    </row>
    <row r="38" spans="1:5" x14ac:dyDescent="0.25">
      <c r="A38" s="514">
        <v>2054</v>
      </c>
      <c r="B38" s="487">
        <v>18167301.911674999</v>
      </c>
      <c r="C38" s="497">
        <v>15766179.55885</v>
      </c>
      <c r="D38" s="498">
        <v>646063.36812500004</v>
      </c>
      <c r="E38" s="499">
        <v>560674.9487500001</v>
      </c>
    </row>
    <row r="39" spans="1:5" x14ac:dyDescent="0.25">
      <c r="A39" s="515">
        <v>2055</v>
      </c>
      <c r="B39" s="487">
        <v>18510116.680600002</v>
      </c>
      <c r="C39" s="497">
        <v>16095219.025199998</v>
      </c>
      <c r="D39" s="498">
        <v>658254.50500000012</v>
      </c>
      <c r="E39" s="499">
        <v>572376.21</v>
      </c>
    </row>
    <row r="40" spans="1:5" x14ac:dyDescent="0.25">
      <c r="A40" s="514">
        <v>2056</v>
      </c>
      <c r="B40" s="487">
        <v>18852931.449524999</v>
      </c>
      <c r="C40" s="497">
        <v>16424258.491550002</v>
      </c>
      <c r="D40" s="498">
        <v>670445.64187499997</v>
      </c>
      <c r="E40" s="499">
        <v>584077.47125000006</v>
      </c>
    </row>
    <row r="41" spans="1:5" ht="15.75" thickBot="1" x14ac:dyDescent="0.3">
      <c r="A41" s="516">
        <v>2057</v>
      </c>
      <c r="B41" s="502">
        <v>19195746.218450002</v>
      </c>
      <c r="C41" s="503">
        <v>16753297.957900003</v>
      </c>
      <c r="D41" s="500">
        <v>682636.77875000006</v>
      </c>
      <c r="E41" s="501">
        <v>595778.73250000016</v>
      </c>
    </row>
    <row r="42" spans="1:5" x14ac:dyDescent="0.25">
      <c r="B42" s="481"/>
      <c r="C42" s="481"/>
      <c r="D42" s="481"/>
      <c r="E42" s="481"/>
    </row>
    <row r="43" spans="1:5" x14ac:dyDescent="0.25">
      <c r="B43" s="481"/>
      <c r="C43" s="481"/>
      <c r="D43" s="481"/>
      <c r="E43" s="481"/>
    </row>
    <row r="44" spans="1:5" x14ac:dyDescent="0.25">
      <c r="A44" s="510"/>
      <c r="B44" s="481"/>
      <c r="C44" s="481"/>
      <c r="D44" s="481"/>
      <c r="E44" s="481"/>
    </row>
    <row r="45" spans="1:5" x14ac:dyDescent="0.25">
      <c r="A45" s="510"/>
      <c r="B45" s="481"/>
      <c r="C45" s="481"/>
      <c r="D45" s="481"/>
      <c r="E45" s="481"/>
    </row>
    <row r="46" spans="1:5" x14ac:dyDescent="0.25">
      <c r="A46" s="510"/>
      <c r="B46" s="481"/>
      <c r="C46" s="481"/>
      <c r="D46" s="481"/>
      <c r="E46" s="481"/>
    </row>
    <row r="47" spans="1:5" x14ac:dyDescent="0.25">
      <c r="A47" s="510"/>
      <c r="B47" s="481"/>
      <c r="C47" s="481"/>
      <c r="D47" s="481"/>
      <c r="E47" s="481"/>
    </row>
    <row r="48" spans="1:5" x14ac:dyDescent="0.25">
      <c r="A48" s="510"/>
      <c r="B48" s="481"/>
      <c r="C48" s="481"/>
      <c r="D48" s="481"/>
      <c r="E48" s="481"/>
    </row>
    <row r="49" spans="1:5" x14ac:dyDescent="0.25">
      <c r="A49" s="510"/>
      <c r="D49" s="481"/>
      <c r="E49" s="481"/>
    </row>
    <row r="50" spans="1:5" x14ac:dyDescent="0.25">
      <c r="A50" s="510"/>
      <c r="D50" s="481"/>
      <c r="E50" s="481"/>
    </row>
    <row r="51" spans="1:5" x14ac:dyDescent="0.25">
      <c r="D51" s="481"/>
      <c r="E51" s="481"/>
    </row>
    <row r="52" spans="1:5" x14ac:dyDescent="0.25">
      <c r="D52" s="481"/>
      <c r="E52" s="481"/>
    </row>
    <row r="53" spans="1:5" x14ac:dyDescent="0.25">
      <c r="D53" s="481"/>
      <c r="E53" s="481"/>
    </row>
    <row r="54" spans="1:5" x14ac:dyDescent="0.25">
      <c r="D54" s="481"/>
      <c r="E54" s="481"/>
    </row>
    <row r="55" spans="1:5" x14ac:dyDescent="0.25">
      <c r="D55" s="481"/>
      <c r="E55" s="481"/>
    </row>
    <row r="56" spans="1:5" x14ac:dyDescent="0.25">
      <c r="D56" s="481"/>
      <c r="E56" s="481"/>
    </row>
    <row r="57" spans="1:5" x14ac:dyDescent="0.25">
      <c r="D57" s="481"/>
      <c r="E57" s="481"/>
    </row>
    <row r="58" spans="1:5" x14ac:dyDescent="0.25">
      <c r="D58" s="481"/>
      <c r="E58" s="481"/>
    </row>
    <row r="59" spans="1:5" x14ac:dyDescent="0.25">
      <c r="D59" s="481"/>
      <c r="E59" s="481"/>
    </row>
    <row r="60" spans="1:5" x14ac:dyDescent="0.25">
      <c r="D60" s="481"/>
      <c r="E60" s="481"/>
    </row>
    <row r="61" spans="1:5" x14ac:dyDescent="0.25">
      <c r="D61" s="481"/>
      <c r="E61" s="481"/>
    </row>
    <row r="62" spans="1:5" x14ac:dyDescent="0.25">
      <c r="D62" s="481"/>
      <c r="E62" s="481"/>
    </row>
    <row r="63" spans="1:5" x14ac:dyDescent="0.25">
      <c r="D63" s="481"/>
      <c r="E63" s="481"/>
    </row>
    <row r="64" spans="1:5" x14ac:dyDescent="0.25">
      <c r="D64" s="481"/>
      <c r="E64" s="481"/>
    </row>
  </sheetData>
  <mergeCells count="3">
    <mergeCell ref="B3:C3"/>
    <mergeCell ref="D3:E3"/>
    <mergeCell ref="A3:A4"/>
  </mergeCells>
  <pageMargins left="0.7" right="0.7" top="0.75" bottom="0.75" header="0.3" footer="0.3"/>
  <pageSetup orientation="portrait" horizontalDpi="1200" verticalDpi="1200" r:id="rId1"/>
  <headerFooter>
    <oddHeader>&amp;CI-680 MOD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CF1E4-3A57-49FA-998C-637BFA17A99A}">
  <sheetPr>
    <tabColor theme="0" tint="-0.499984740745262"/>
    <pageSetUpPr fitToPage="1"/>
  </sheetPr>
  <dimension ref="A1:P96"/>
  <sheetViews>
    <sheetView zoomScale="80" zoomScaleNormal="80" workbookViewId="0">
      <selection activeCell="L14" sqref="L14"/>
    </sheetView>
  </sheetViews>
  <sheetFormatPr defaultColWidth="8.85546875" defaultRowHeight="15" x14ac:dyDescent="0.25"/>
  <cols>
    <col min="1" max="1" width="25.7109375" style="34" customWidth="1"/>
    <col min="2" max="4" width="20.85546875" style="34" customWidth="1"/>
    <col min="5" max="5" width="13.7109375" style="34" bestFit="1" customWidth="1"/>
    <col min="6" max="6" width="14.140625" style="34" bestFit="1" customWidth="1"/>
    <col min="7" max="7" width="20.85546875" style="34" bestFit="1" customWidth="1"/>
    <col min="8" max="8" width="13" style="34" bestFit="1" customWidth="1"/>
    <col min="9" max="9" width="14.5703125" style="34" bestFit="1" customWidth="1"/>
    <col min="10" max="10" width="12.28515625" style="34" bestFit="1" customWidth="1"/>
    <col min="11" max="11" width="13.7109375" style="34" bestFit="1" customWidth="1"/>
    <col min="12" max="12" width="19.7109375" style="34" bestFit="1" customWidth="1"/>
    <col min="13" max="13" width="13.5703125" style="34" bestFit="1" customWidth="1"/>
    <col min="14" max="14" width="12.28515625" style="34" bestFit="1" customWidth="1"/>
    <col min="15" max="15" width="11.28515625" style="34" bestFit="1" customWidth="1"/>
    <col min="16" max="16" width="16.5703125" style="34" bestFit="1" customWidth="1"/>
    <col min="17" max="16384" width="8.85546875" style="34"/>
  </cols>
  <sheetData>
    <row r="1" spans="1:16" ht="18.75" x14ac:dyDescent="0.3">
      <c r="A1" s="39" t="s">
        <v>28</v>
      </c>
    </row>
    <row r="2" spans="1:16" x14ac:dyDescent="0.25">
      <c r="B2" s="15"/>
      <c r="C2" s="15" t="s">
        <v>407</v>
      </c>
      <c r="D2" s="15"/>
      <c r="E2" s="26"/>
      <c r="F2" s="30"/>
      <c r="G2" s="30"/>
      <c r="H2" s="29"/>
    </row>
    <row r="3" spans="1:16" ht="15.75" thickBot="1" x14ac:dyDescent="0.3">
      <c r="A3" s="10" t="s">
        <v>31</v>
      </c>
      <c r="B3" s="15"/>
      <c r="C3" s="15"/>
      <c r="D3" s="15"/>
      <c r="E3" s="26"/>
      <c r="F3" s="30"/>
      <c r="G3" s="30"/>
      <c r="H3" s="29"/>
    </row>
    <row r="4" spans="1:16" ht="45" x14ac:dyDescent="0.25">
      <c r="A4" s="44" t="s">
        <v>10</v>
      </c>
      <c r="B4" s="52" t="s">
        <v>36</v>
      </c>
      <c r="C4" s="52" t="s">
        <v>37</v>
      </c>
      <c r="D4" s="52" t="s">
        <v>11</v>
      </c>
      <c r="E4" s="52" t="s">
        <v>27</v>
      </c>
      <c r="F4" s="52" t="s">
        <v>12</v>
      </c>
      <c r="G4" s="127" t="s">
        <v>38</v>
      </c>
      <c r="H4" s="82" t="s">
        <v>13</v>
      </c>
      <c r="I4" s="87" t="s">
        <v>33</v>
      </c>
      <c r="J4" s="12"/>
      <c r="K4" s="12"/>
      <c r="L4" s="12"/>
      <c r="M4" s="12"/>
    </row>
    <row r="5" spans="1:16" hidden="1" x14ac:dyDescent="0.25">
      <c r="A5" s="45" t="s">
        <v>14</v>
      </c>
      <c r="B5" s="53"/>
      <c r="C5" s="53"/>
      <c r="D5" s="53">
        <v>44348</v>
      </c>
      <c r="E5" s="53">
        <v>44470</v>
      </c>
      <c r="F5" s="53">
        <v>45565</v>
      </c>
      <c r="G5" s="128"/>
      <c r="H5" s="83">
        <f>MIN(D5:F5)</f>
        <v>44348</v>
      </c>
      <c r="I5" s="88"/>
      <c r="J5" s="41"/>
      <c r="K5" s="41"/>
      <c r="L5" s="32"/>
      <c r="M5" s="42"/>
    </row>
    <row r="6" spans="1:16" x14ac:dyDescent="0.25">
      <c r="A6" s="45" t="s">
        <v>14</v>
      </c>
      <c r="B6" s="53"/>
      <c r="C6" s="53"/>
      <c r="D6" s="53"/>
      <c r="E6" s="53"/>
      <c r="F6" s="53"/>
      <c r="G6" s="128"/>
      <c r="H6" s="83"/>
      <c r="I6" s="88"/>
      <c r="J6" s="41"/>
      <c r="K6" s="41"/>
      <c r="L6" s="32"/>
      <c r="M6" s="42"/>
    </row>
    <row r="7" spans="1:16" x14ac:dyDescent="0.25">
      <c r="A7" s="45" t="s">
        <v>15</v>
      </c>
      <c r="B7" s="53"/>
      <c r="C7" s="53"/>
      <c r="D7" s="53"/>
      <c r="E7" s="53"/>
      <c r="F7" s="53"/>
      <c r="G7" s="128"/>
      <c r="H7" s="83"/>
      <c r="I7" s="88"/>
      <c r="J7" s="41"/>
      <c r="K7" s="41"/>
      <c r="L7" s="32"/>
      <c r="M7" s="42"/>
    </row>
    <row r="8" spans="1:16" hidden="1" x14ac:dyDescent="0.25">
      <c r="A8" s="45" t="s">
        <v>15</v>
      </c>
      <c r="B8" s="53"/>
      <c r="C8" s="53"/>
      <c r="D8" s="53">
        <v>45200</v>
      </c>
      <c r="E8" s="53">
        <v>45474</v>
      </c>
      <c r="F8" s="53">
        <v>46752</v>
      </c>
      <c r="G8" s="128"/>
      <c r="H8" s="83">
        <f>MAX(D8:F8)</f>
        <v>46752</v>
      </c>
      <c r="I8" s="88"/>
      <c r="J8" s="41"/>
      <c r="K8" s="41"/>
      <c r="L8" s="32"/>
      <c r="M8" s="42"/>
    </row>
    <row r="9" spans="1:16" x14ac:dyDescent="0.25">
      <c r="A9" s="45" t="s">
        <v>35</v>
      </c>
      <c r="B9" s="49">
        <f>2152000*3</f>
        <v>6456000</v>
      </c>
      <c r="C9" s="49">
        <f>425000*3</f>
        <v>1275000</v>
      </c>
      <c r="D9" s="49"/>
      <c r="E9" s="47"/>
      <c r="F9" s="47">
        <f>19043000*3</f>
        <v>57129000</v>
      </c>
      <c r="G9" s="129">
        <f>2708000*3</f>
        <v>8124000</v>
      </c>
      <c r="H9" s="84"/>
      <c r="I9" s="89"/>
      <c r="J9" s="43"/>
      <c r="K9" s="43"/>
      <c r="L9" s="43"/>
      <c r="M9" s="13"/>
    </row>
    <row r="10" spans="1:16" ht="15.75" thickBot="1" x14ac:dyDescent="0.3">
      <c r="A10" s="46" t="s">
        <v>34</v>
      </c>
      <c r="B10" s="48">
        <f>B9*Parameters!$G$40</f>
        <v>6326880</v>
      </c>
      <c r="C10" s="48">
        <f>C9*Parameters!$G$40</f>
        <v>1249500</v>
      </c>
      <c r="D10" s="48"/>
      <c r="E10" s="50"/>
      <c r="F10" s="51">
        <f>F9*Parameters!$G$40</f>
        <v>55986420</v>
      </c>
      <c r="G10" s="130">
        <f>G9*Parameters!$G$40</f>
        <v>7961520</v>
      </c>
      <c r="H10" s="85"/>
      <c r="I10" s="90"/>
      <c r="J10" s="43"/>
      <c r="K10" s="43"/>
      <c r="L10" s="43"/>
      <c r="M10" s="13"/>
    </row>
    <row r="11" spans="1:16" x14ac:dyDescent="0.25">
      <c r="A11" s="63">
        <v>2020</v>
      </c>
      <c r="B11" s="64"/>
      <c r="C11" s="64"/>
      <c r="D11" s="64"/>
      <c r="E11" s="64"/>
      <c r="F11" s="64"/>
      <c r="G11" s="131"/>
      <c r="H11" s="86"/>
      <c r="I11" s="91">
        <f>H11/(1.07^($A11-$A$11))</f>
        <v>0</v>
      </c>
      <c r="J11" s="43"/>
      <c r="K11" s="43"/>
      <c r="L11" s="43"/>
      <c r="M11" s="13"/>
      <c r="P11" s="35"/>
    </row>
    <row r="12" spans="1:16" x14ac:dyDescent="0.25">
      <c r="A12" s="45">
        <v>2022</v>
      </c>
      <c r="B12" s="54">
        <f>'MOD Cost Parameters'!D11*1000*Parameters!G40</f>
        <v>1397480</v>
      </c>
      <c r="C12" s="54">
        <f>'MOD Cost Parameters'!D7*1000*Parameters!G40</f>
        <v>401800</v>
      </c>
      <c r="D12" s="54"/>
      <c r="E12" s="54"/>
      <c r="F12" s="54">
        <f>1000*'MOD Cost Parameters'!D15*Parameters!G40</f>
        <v>3222240</v>
      </c>
      <c r="G12" s="389">
        <f>'MOD Cost Parameters'!D4*1000*Parameters!G40</f>
        <v>1421980</v>
      </c>
      <c r="H12" s="84">
        <f>SUM(B12:F12)</f>
        <v>5021520</v>
      </c>
      <c r="I12" s="92">
        <f t="shared" ref="I12:I47" si="0">H12/(1.07^($A12-$A$11))</f>
        <v>4385990.0427984977</v>
      </c>
      <c r="J12" s="43"/>
      <c r="K12" s="43"/>
      <c r="L12" s="43"/>
      <c r="M12" s="13"/>
      <c r="O12" s="35"/>
      <c r="P12" s="35"/>
    </row>
    <row r="13" spans="1:16" x14ac:dyDescent="0.25">
      <c r="A13" s="45">
        <v>2023</v>
      </c>
      <c r="B13" s="54">
        <f>'MOD Cost Parameters'!E11*1000*Parameters!G40</f>
        <v>711480</v>
      </c>
      <c r="C13" s="54">
        <f>'MOD Cost Parameters'!E7*1000*Parameters!G40</f>
        <v>14700</v>
      </c>
      <c r="D13" s="54"/>
      <c r="E13" s="54"/>
      <c r="F13" s="54">
        <f>1000*'MOD Cost Parameters'!E15*Parameters!G40</f>
        <v>4375700</v>
      </c>
      <c r="G13" s="389">
        <f>'MOD Cost Parameters'!E4*1000*Parameters!G40</f>
        <v>734020</v>
      </c>
      <c r="H13" s="84">
        <f t="shared" ref="H13:H16" si="1">SUM(B13:F13)</f>
        <v>5101880</v>
      </c>
      <c r="I13" s="92">
        <f t="shared" si="0"/>
        <v>4164653.8121518996</v>
      </c>
      <c r="J13" s="43"/>
      <c r="K13" s="43"/>
      <c r="L13" s="43"/>
      <c r="M13" s="13"/>
      <c r="P13" s="35"/>
    </row>
    <row r="14" spans="1:16" x14ac:dyDescent="0.25">
      <c r="A14" s="45">
        <v>2024</v>
      </c>
      <c r="B14" s="126"/>
      <c r="C14" s="126"/>
      <c r="D14" s="54"/>
      <c r="E14" s="54"/>
      <c r="F14" s="54">
        <f>1000*'MOD Cost Parameters'!F15*Parameters!G40</f>
        <v>6164200</v>
      </c>
      <c r="G14" s="389">
        <f>'MOD Cost Parameters'!F4*1000*Parameters!G40</f>
        <v>497840</v>
      </c>
      <c r="H14" s="84">
        <f t="shared" si="1"/>
        <v>6164200</v>
      </c>
      <c r="I14" s="92">
        <f t="shared" si="0"/>
        <v>4702638.6661033547</v>
      </c>
      <c r="J14" s="43"/>
      <c r="K14" s="43"/>
      <c r="L14" s="43"/>
      <c r="M14" s="13"/>
      <c r="P14" s="35"/>
    </row>
    <row r="15" spans="1:16" x14ac:dyDescent="0.25">
      <c r="A15" s="45">
        <v>2025</v>
      </c>
      <c r="B15" s="54"/>
      <c r="C15" s="54"/>
      <c r="D15" s="54"/>
      <c r="E15" s="54"/>
      <c r="F15" s="54">
        <f>1000*'MOD Cost Parameters'!G15*Parameters!G40</f>
        <v>4900000</v>
      </c>
      <c r="G15" s="389"/>
      <c r="H15" s="84">
        <f t="shared" si="1"/>
        <v>4900000</v>
      </c>
      <c r="I15" s="92">
        <f t="shared" si="0"/>
        <v>3493632.2794699748</v>
      </c>
      <c r="J15" s="43"/>
      <c r="K15" s="43"/>
      <c r="L15" s="43"/>
      <c r="M15" s="13"/>
      <c r="P15" s="35"/>
    </row>
    <row r="16" spans="1:16" x14ac:dyDescent="0.25">
      <c r="A16" s="45">
        <v>2026</v>
      </c>
      <c r="B16" s="54"/>
      <c r="C16" s="54"/>
      <c r="D16" s="54"/>
      <c r="E16" s="54"/>
      <c r="F16" s="54"/>
      <c r="G16" s="390"/>
      <c r="H16" s="84">
        <f t="shared" si="1"/>
        <v>0</v>
      </c>
      <c r="I16" s="92">
        <f t="shared" si="0"/>
        <v>0</v>
      </c>
      <c r="J16" s="43"/>
      <c r="K16" s="43"/>
      <c r="L16" s="43"/>
      <c r="M16" s="13"/>
      <c r="P16" s="35"/>
    </row>
    <row r="17" spans="1:15" x14ac:dyDescent="0.25">
      <c r="A17" s="45">
        <v>2027</v>
      </c>
      <c r="B17" s="54"/>
      <c r="C17" s="54"/>
      <c r="D17" s="54"/>
      <c r="E17" s="54"/>
      <c r="F17" s="54"/>
      <c r="G17" s="390"/>
      <c r="H17" s="84">
        <f t="shared" ref="H17:H18" si="2">SUM(D17:F17)</f>
        <v>0</v>
      </c>
      <c r="I17" s="92">
        <f t="shared" si="0"/>
        <v>0</v>
      </c>
      <c r="J17" s="43"/>
      <c r="K17" s="43"/>
      <c r="L17" s="43"/>
      <c r="M17" s="13"/>
      <c r="O17" s="35"/>
    </row>
    <row r="18" spans="1:15" x14ac:dyDescent="0.25">
      <c r="A18" s="45">
        <v>2028</v>
      </c>
      <c r="B18" s="54"/>
      <c r="C18" s="54"/>
      <c r="D18" s="54"/>
      <c r="E18" s="54"/>
      <c r="F18" s="54"/>
      <c r="G18" s="390"/>
      <c r="H18" s="84">
        <f t="shared" si="2"/>
        <v>0</v>
      </c>
      <c r="I18" s="92">
        <f t="shared" si="0"/>
        <v>0</v>
      </c>
      <c r="J18" s="43"/>
      <c r="K18" s="43"/>
      <c r="L18" s="43"/>
      <c r="M18" s="13"/>
    </row>
    <row r="19" spans="1:15" x14ac:dyDescent="0.25">
      <c r="A19" s="45">
        <v>2029</v>
      </c>
      <c r="B19" s="54"/>
      <c r="C19" s="54"/>
      <c r="D19" s="54"/>
      <c r="E19" s="54"/>
      <c r="F19" s="54"/>
      <c r="G19" s="390"/>
      <c r="H19" s="84">
        <f t="shared" ref="H19:H47" si="3">SUM(D19:F19)</f>
        <v>0</v>
      </c>
      <c r="I19" s="92">
        <f t="shared" si="0"/>
        <v>0</v>
      </c>
      <c r="J19" s="43"/>
      <c r="K19" s="43"/>
      <c r="L19" s="43"/>
      <c r="M19" s="13"/>
    </row>
    <row r="20" spans="1:15" x14ac:dyDescent="0.25">
      <c r="A20" s="45">
        <v>2030</v>
      </c>
      <c r="B20" s="54"/>
      <c r="C20" s="54"/>
      <c r="D20" s="54"/>
      <c r="E20" s="54"/>
      <c r="F20" s="54"/>
      <c r="G20" s="390"/>
      <c r="H20" s="84">
        <f t="shared" si="3"/>
        <v>0</v>
      </c>
      <c r="I20" s="92">
        <f t="shared" si="0"/>
        <v>0</v>
      </c>
      <c r="J20" s="43"/>
      <c r="K20" s="43"/>
      <c r="L20" s="43"/>
      <c r="M20" s="13"/>
    </row>
    <row r="21" spans="1:15" x14ac:dyDescent="0.25">
      <c r="A21" s="45">
        <v>2031</v>
      </c>
      <c r="B21" s="54"/>
      <c r="C21" s="54"/>
      <c r="D21" s="54"/>
      <c r="E21" s="54"/>
      <c r="F21" s="54"/>
      <c r="G21" s="390"/>
      <c r="H21" s="84">
        <f t="shared" si="3"/>
        <v>0</v>
      </c>
      <c r="I21" s="92">
        <f t="shared" si="0"/>
        <v>0</v>
      </c>
      <c r="J21" s="43"/>
      <c r="K21" s="43"/>
      <c r="L21" s="43"/>
      <c r="M21" s="13"/>
    </row>
    <row r="22" spans="1:15" x14ac:dyDescent="0.25">
      <c r="A22" s="45">
        <v>2032</v>
      </c>
      <c r="B22" s="54">
        <f>B12</f>
        <v>1397480</v>
      </c>
      <c r="C22" s="54">
        <f>C12</f>
        <v>401800</v>
      </c>
      <c r="D22" s="54"/>
      <c r="E22" s="54"/>
      <c r="F22" s="54">
        <f>F12</f>
        <v>3222240</v>
      </c>
      <c r="G22" s="390">
        <f>G12</f>
        <v>1421980</v>
      </c>
      <c r="H22" s="84">
        <f t="shared" si="3"/>
        <v>3222240</v>
      </c>
      <c r="I22" s="92">
        <f t="shared" si="0"/>
        <v>1430713.095543867</v>
      </c>
      <c r="J22" s="43"/>
      <c r="K22" s="43"/>
      <c r="L22" s="43"/>
      <c r="M22" s="13"/>
    </row>
    <row r="23" spans="1:15" x14ac:dyDescent="0.25">
      <c r="A23" s="45">
        <v>2033</v>
      </c>
      <c r="B23" s="54">
        <f>B13</f>
        <v>711480</v>
      </c>
      <c r="C23" s="54">
        <f>C13</f>
        <v>14700</v>
      </c>
      <c r="D23" s="54"/>
      <c r="E23" s="54"/>
      <c r="F23" s="54">
        <f t="shared" ref="F23:G25" si="4">F13</f>
        <v>4375700</v>
      </c>
      <c r="G23" s="390">
        <f t="shared" si="4"/>
        <v>734020</v>
      </c>
      <c r="H23" s="84">
        <f t="shared" si="3"/>
        <v>4375700</v>
      </c>
      <c r="I23" s="92">
        <f t="shared" si="0"/>
        <v>1815759.934625874</v>
      </c>
      <c r="J23" s="43"/>
      <c r="K23" s="43"/>
      <c r="L23" s="43"/>
      <c r="M23" s="13"/>
    </row>
    <row r="24" spans="1:15" x14ac:dyDescent="0.25">
      <c r="A24" s="45">
        <v>2034</v>
      </c>
      <c r="B24" s="54"/>
      <c r="C24" s="54"/>
      <c r="D24" s="54"/>
      <c r="E24" s="54"/>
      <c r="F24" s="54">
        <f t="shared" si="4"/>
        <v>6164200</v>
      </c>
      <c r="G24" s="390">
        <f t="shared" si="4"/>
        <v>497840</v>
      </c>
      <c r="H24" s="84">
        <f t="shared" si="3"/>
        <v>6164200</v>
      </c>
      <c r="I24" s="92">
        <f t="shared" si="0"/>
        <v>2390583.0370789943</v>
      </c>
      <c r="J24" s="43"/>
      <c r="K24" s="43"/>
      <c r="L24" s="43"/>
      <c r="M24" s="13"/>
    </row>
    <row r="25" spans="1:15" x14ac:dyDescent="0.25">
      <c r="A25" s="45">
        <v>2035</v>
      </c>
      <c r="B25" s="54"/>
      <c r="C25" s="54"/>
      <c r="D25" s="54"/>
      <c r="E25" s="54"/>
      <c r="F25" s="54">
        <f t="shared" si="4"/>
        <v>4900000</v>
      </c>
      <c r="G25" s="390"/>
      <c r="H25" s="84">
        <f t="shared" si="3"/>
        <v>4900000</v>
      </c>
      <c r="I25" s="92">
        <f t="shared" si="0"/>
        <v>1775985.4962475623</v>
      </c>
      <c r="J25" s="43"/>
      <c r="K25" s="43"/>
      <c r="L25" s="43"/>
      <c r="M25" s="13"/>
    </row>
    <row r="26" spans="1:15" x14ac:dyDescent="0.25">
      <c r="A26" s="45">
        <v>2036</v>
      </c>
      <c r="B26" s="54"/>
      <c r="C26" s="54"/>
      <c r="D26" s="54"/>
      <c r="E26" s="54"/>
      <c r="F26" s="54"/>
      <c r="G26" s="390"/>
      <c r="H26" s="84">
        <f t="shared" si="3"/>
        <v>0</v>
      </c>
      <c r="I26" s="92">
        <f t="shared" si="0"/>
        <v>0</v>
      </c>
      <c r="J26" s="43"/>
      <c r="K26" s="43"/>
      <c r="L26" s="43"/>
      <c r="M26" s="13"/>
    </row>
    <row r="27" spans="1:15" x14ac:dyDescent="0.25">
      <c r="A27" s="45">
        <v>2037</v>
      </c>
      <c r="B27" s="54"/>
      <c r="C27" s="54"/>
      <c r="D27" s="54"/>
      <c r="E27" s="54"/>
      <c r="F27" s="54"/>
      <c r="G27" s="390"/>
      <c r="H27" s="84">
        <f t="shared" si="3"/>
        <v>0</v>
      </c>
      <c r="I27" s="92">
        <f t="shared" si="0"/>
        <v>0</v>
      </c>
      <c r="J27" s="43"/>
      <c r="K27" s="43"/>
      <c r="L27" s="43"/>
      <c r="M27" s="13"/>
    </row>
    <row r="28" spans="1:15" x14ac:dyDescent="0.25">
      <c r="A28" s="45">
        <v>2038</v>
      </c>
      <c r="B28" s="54"/>
      <c r="C28" s="54"/>
      <c r="D28" s="54"/>
      <c r="E28" s="54"/>
      <c r="F28" s="54"/>
      <c r="G28" s="390"/>
      <c r="H28" s="84">
        <f t="shared" si="3"/>
        <v>0</v>
      </c>
      <c r="I28" s="92">
        <f t="shared" si="0"/>
        <v>0</v>
      </c>
      <c r="J28" s="43"/>
      <c r="K28" s="43"/>
      <c r="L28" s="43"/>
      <c r="M28" s="13"/>
    </row>
    <row r="29" spans="1:15" x14ac:dyDescent="0.25">
      <c r="A29" s="45">
        <v>2039</v>
      </c>
      <c r="B29" s="54"/>
      <c r="C29" s="54"/>
      <c r="D29" s="54"/>
      <c r="E29" s="54"/>
      <c r="F29" s="54"/>
      <c r="G29" s="390"/>
      <c r="H29" s="84">
        <f t="shared" si="3"/>
        <v>0</v>
      </c>
      <c r="I29" s="92">
        <f t="shared" si="0"/>
        <v>0</v>
      </c>
      <c r="J29" s="43"/>
      <c r="K29" s="43"/>
      <c r="L29" s="43"/>
      <c r="M29" s="13"/>
    </row>
    <row r="30" spans="1:15" x14ac:dyDescent="0.25">
      <c r="A30" s="45">
        <v>2040</v>
      </c>
      <c r="B30" s="54"/>
      <c r="C30" s="54"/>
      <c r="D30" s="54"/>
      <c r="E30" s="54"/>
      <c r="F30" s="54"/>
      <c r="G30" s="390"/>
      <c r="H30" s="84">
        <f t="shared" si="3"/>
        <v>0</v>
      </c>
      <c r="I30" s="92">
        <f t="shared" si="0"/>
        <v>0</v>
      </c>
      <c r="J30" s="43"/>
      <c r="K30" s="43"/>
      <c r="L30" s="43"/>
      <c r="M30" s="13"/>
    </row>
    <row r="31" spans="1:15" x14ac:dyDescent="0.25">
      <c r="A31" s="45">
        <v>2041</v>
      </c>
      <c r="B31" s="54"/>
      <c r="C31" s="54"/>
      <c r="D31" s="54"/>
      <c r="E31" s="54"/>
      <c r="F31" s="54"/>
      <c r="G31" s="390"/>
      <c r="H31" s="84">
        <f t="shared" si="3"/>
        <v>0</v>
      </c>
      <c r="I31" s="92">
        <f t="shared" si="0"/>
        <v>0</v>
      </c>
      <c r="J31" s="43"/>
      <c r="K31" s="43"/>
      <c r="L31" s="43"/>
      <c r="M31" s="13"/>
    </row>
    <row r="32" spans="1:15" x14ac:dyDescent="0.25">
      <c r="A32" s="45">
        <v>2042</v>
      </c>
      <c r="B32" s="54">
        <f>B12</f>
        <v>1397480</v>
      </c>
      <c r="C32" s="54">
        <f>C12</f>
        <v>401800</v>
      </c>
      <c r="D32" s="54"/>
      <c r="E32" s="54"/>
      <c r="F32" s="54">
        <f>F12</f>
        <v>3222240</v>
      </c>
      <c r="G32" s="390">
        <f>G12</f>
        <v>1421980</v>
      </c>
      <c r="H32" s="84">
        <f t="shared" si="3"/>
        <v>3222240</v>
      </c>
      <c r="I32" s="92">
        <f t="shared" si="0"/>
        <v>727301.98936759564</v>
      </c>
      <c r="J32" s="43"/>
      <c r="K32" s="43"/>
      <c r="L32" s="43"/>
      <c r="M32" s="13"/>
    </row>
    <row r="33" spans="1:13" x14ac:dyDescent="0.25">
      <c r="A33" s="45">
        <v>2043</v>
      </c>
      <c r="B33" s="54">
        <f>B13</f>
        <v>711480</v>
      </c>
      <c r="C33" s="54">
        <f>C13</f>
        <v>14700</v>
      </c>
      <c r="D33" s="54"/>
      <c r="E33" s="54"/>
      <c r="F33" s="54">
        <f t="shared" ref="F33:G35" si="5">F13</f>
        <v>4375700</v>
      </c>
      <c r="G33" s="390">
        <f t="shared" si="5"/>
        <v>734020</v>
      </c>
      <c r="H33" s="84">
        <f t="shared" si="3"/>
        <v>4375700</v>
      </c>
      <c r="I33" s="92">
        <f t="shared" si="0"/>
        <v>923040.27745364467</v>
      </c>
      <c r="J33" s="43"/>
      <c r="K33" s="43"/>
      <c r="L33" s="43"/>
      <c r="M33" s="13"/>
    </row>
    <row r="34" spans="1:13" x14ac:dyDescent="0.25">
      <c r="A34" s="45">
        <v>2044</v>
      </c>
      <c r="B34" s="54"/>
      <c r="C34" s="54"/>
      <c r="D34" s="54"/>
      <c r="E34" s="54"/>
      <c r="F34" s="54">
        <f t="shared" si="5"/>
        <v>6164200</v>
      </c>
      <c r="G34" s="390">
        <f t="shared" si="5"/>
        <v>497840</v>
      </c>
      <c r="H34" s="84">
        <f t="shared" si="3"/>
        <v>6164200</v>
      </c>
      <c r="I34" s="92">
        <f t="shared" si="0"/>
        <v>1215251.1946883705</v>
      </c>
      <c r="J34" s="43"/>
      <c r="K34" s="43"/>
      <c r="L34" s="43"/>
      <c r="M34" s="13"/>
    </row>
    <row r="35" spans="1:13" x14ac:dyDescent="0.25">
      <c r="A35" s="45">
        <v>2045</v>
      </c>
      <c r="B35" s="54"/>
      <c r="C35" s="54"/>
      <c r="D35" s="54"/>
      <c r="E35" s="54"/>
      <c r="F35" s="54">
        <f t="shared" si="5"/>
        <v>4900000</v>
      </c>
      <c r="G35" s="390">
        <f t="shared" si="5"/>
        <v>0</v>
      </c>
      <c r="H35" s="84">
        <f t="shared" si="3"/>
        <v>4900000</v>
      </c>
      <c r="I35" s="92">
        <f t="shared" si="0"/>
        <v>902820.96985897387</v>
      </c>
      <c r="J35" s="43"/>
      <c r="K35" s="43"/>
      <c r="L35" s="43"/>
      <c r="M35" s="13"/>
    </row>
    <row r="36" spans="1:13" x14ac:dyDescent="0.25">
      <c r="A36" s="45">
        <v>2046</v>
      </c>
      <c r="B36" s="54"/>
      <c r="C36" s="54"/>
      <c r="D36" s="54"/>
      <c r="E36" s="54"/>
      <c r="F36" s="54"/>
      <c r="G36" s="390"/>
      <c r="H36" s="84">
        <f t="shared" si="3"/>
        <v>0</v>
      </c>
      <c r="I36" s="92">
        <f t="shared" si="0"/>
        <v>0</v>
      </c>
      <c r="J36" s="43"/>
      <c r="K36" s="43"/>
      <c r="L36" s="43"/>
      <c r="M36" s="13"/>
    </row>
    <row r="37" spans="1:13" x14ac:dyDescent="0.25">
      <c r="A37" s="45">
        <v>2047</v>
      </c>
      <c r="B37" s="54"/>
      <c r="C37" s="54"/>
      <c r="D37" s="54"/>
      <c r="E37" s="54"/>
      <c r="F37" s="54"/>
      <c r="G37" s="390"/>
      <c r="H37" s="84">
        <f t="shared" si="3"/>
        <v>0</v>
      </c>
      <c r="I37" s="92">
        <f t="shared" si="0"/>
        <v>0</v>
      </c>
      <c r="J37" s="43"/>
      <c r="K37" s="43"/>
      <c r="L37" s="43"/>
      <c r="M37" s="13"/>
    </row>
    <row r="38" spans="1:13" x14ac:dyDescent="0.25">
      <c r="A38" s="45">
        <v>2048</v>
      </c>
      <c r="B38" s="54"/>
      <c r="C38" s="54"/>
      <c r="D38" s="54"/>
      <c r="E38" s="54"/>
      <c r="F38" s="54"/>
      <c r="G38" s="390"/>
      <c r="H38" s="84">
        <f t="shared" si="3"/>
        <v>0</v>
      </c>
      <c r="I38" s="92">
        <f t="shared" si="0"/>
        <v>0</v>
      </c>
      <c r="J38" s="43"/>
      <c r="K38" s="43"/>
      <c r="L38" s="43"/>
      <c r="M38" s="13"/>
    </row>
    <row r="39" spans="1:13" x14ac:dyDescent="0.25">
      <c r="A39" s="45">
        <v>2049</v>
      </c>
      <c r="B39" s="54"/>
      <c r="C39" s="54"/>
      <c r="D39" s="54"/>
      <c r="E39" s="54"/>
      <c r="F39" s="54"/>
      <c r="G39" s="390"/>
      <c r="H39" s="84">
        <f t="shared" si="3"/>
        <v>0</v>
      </c>
      <c r="I39" s="92">
        <f t="shared" si="0"/>
        <v>0</v>
      </c>
      <c r="J39" s="43"/>
      <c r="K39" s="43"/>
      <c r="L39" s="43"/>
      <c r="M39" s="13"/>
    </row>
    <row r="40" spans="1:13" x14ac:dyDescent="0.25">
      <c r="A40" s="45">
        <v>2050</v>
      </c>
      <c r="B40" s="54"/>
      <c r="C40" s="54"/>
      <c r="D40" s="54"/>
      <c r="E40" s="54"/>
      <c r="F40" s="54"/>
      <c r="G40" s="390"/>
      <c r="H40" s="84">
        <f t="shared" si="3"/>
        <v>0</v>
      </c>
      <c r="I40" s="92">
        <f t="shared" si="0"/>
        <v>0</v>
      </c>
      <c r="J40" s="43"/>
      <c r="K40" s="43"/>
      <c r="L40" s="43"/>
      <c r="M40" s="13"/>
    </row>
    <row r="41" spans="1:13" x14ac:dyDescent="0.25">
      <c r="A41" s="45">
        <v>2051</v>
      </c>
      <c r="B41" s="54"/>
      <c r="C41" s="54"/>
      <c r="D41" s="54"/>
      <c r="E41" s="54"/>
      <c r="F41" s="54"/>
      <c r="G41" s="390"/>
      <c r="H41" s="84">
        <f t="shared" si="3"/>
        <v>0</v>
      </c>
      <c r="I41" s="92">
        <f t="shared" si="0"/>
        <v>0</v>
      </c>
      <c r="J41" s="43"/>
      <c r="K41" s="43"/>
      <c r="L41" s="43"/>
      <c r="M41" s="13"/>
    </row>
    <row r="42" spans="1:13" x14ac:dyDescent="0.25">
      <c r="A42" s="45">
        <v>2052</v>
      </c>
      <c r="B42" s="54"/>
      <c r="C42" s="54"/>
      <c r="D42" s="54"/>
      <c r="E42" s="54"/>
      <c r="F42" s="54"/>
      <c r="G42" s="390"/>
      <c r="H42" s="84">
        <f t="shared" si="3"/>
        <v>0</v>
      </c>
      <c r="I42" s="92">
        <f t="shared" si="0"/>
        <v>0</v>
      </c>
      <c r="J42" s="43"/>
      <c r="K42" s="43"/>
      <c r="L42" s="43"/>
      <c r="M42" s="13"/>
    </row>
    <row r="43" spans="1:13" x14ac:dyDescent="0.25">
      <c r="A43" s="45">
        <v>2053</v>
      </c>
      <c r="B43" s="54"/>
      <c r="C43" s="54"/>
      <c r="D43" s="54"/>
      <c r="E43" s="54"/>
      <c r="F43" s="54"/>
      <c r="G43" s="390"/>
      <c r="H43" s="84">
        <f t="shared" si="3"/>
        <v>0</v>
      </c>
      <c r="I43" s="92">
        <f t="shared" si="0"/>
        <v>0</v>
      </c>
      <c r="J43" s="43"/>
      <c r="K43" s="43"/>
      <c r="L43" s="43"/>
      <c r="M43" s="13"/>
    </row>
    <row r="44" spans="1:13" x14ac:dyDescent="0.25">
      <c r="A44" s="45">
        <v>2054</v>
      </c>
      <c r="B44" s="54"/>
      <c r="C44" s="54"/>
      <c r="D44" s="54"/>
      <c r="E44" s="54"/>
      <c r="F44" s="54"/>
      <c r="G44" s="390"/>
      <c r="H44" s="84">
        <f t="shared" si="3"/>
        <v>0</v>
      </c>
      <c r="I44" s="92">
        <f t="shared" si="0"/>
        <v>0</v>
      </c>
      <c r="J44" s="43"/>
      <c r="K44" s="43"/>
      <c r="L44" s="43"/>
      <c r="M44" s="13"/>
    </row>
    <row r="45" spans="1:13" x14ac:dyDescent="0.25">
      <c r="A45" s="45">
        <v>2055</v>
      </c>
      <c r="B45" s="54"/>
      <c r="C45" s="54"/>
      <c r="D45" s="54"/>
      <c r="E45" s="54"/>
      <c r="F45" s="54"/>
      <c r="G45" s="390"/>
      <c r="H45" s="84">
        <f t="shared" si="3"/>
        <v>0</v>
      </c>
      <c r="I45" s="92">
        <f t="shared" si="0"/>
        <v>0</v>
      </c>
      <c r="J45" s="43"/>
      <c r="K45" s="43"/>
      <c r="L45" s="43"/>
      <c r="M45" s="13"/>
    </row>
    <row r="46" spans="1:13" x14ac:dyDescent="0.25">
      <c r="A46" s="45">
        <v>2056</v>
      </c>
      <c r="B46" s="54"/>
      <c r="C46" s="54"/>
      <c r="D46" s="54"/>
      <c r="E46" s="54"/>
      <c r="F46" s="54"/>
      <c r="G46" s="390"/>
      <c r="H46" s="84">
        <f t="shared" si="3"/>
        <v>0</v>
      </c>
      <c r="I46" s="92">
        <f t="shared" si="0"/>
        <v>0</v>
      </c>
      <c r="J46" s="43"/>
      <c r="K46" s="43"/>
      <c r="L46" s="43"/>
      <c r="M46" s="13"/>
    </row>
    <row r="47" spans="1:13" x14ac:dyDescent="0.25">
      <c r="A47" s="45">
        <v>2057</v>
      </c>
      <c r="B47" s="54"/>
      <c r="C47" s="54"/>
      <c r="D47" s="54"/>
      <c r="E47" s="54"/>
      <c r="F47" s="54"/>
      <c r="G47" s="390"/>
      <c r="H47" s="84">
        <f t="shared" si="3"/>
        <v>0</v>
      </c>
      <c r="I47" s="92">
        <f t="shared" si="0"/>
        <v>0</v>
      </c>
      <c r="J47" s="43"/>
      <c r="K47" s="43"/>
      <c r="L47" s="43"/>
      <c r="M47" s="13"/>
    </row>
    <row r="48" spans="1:13" ht="15.75" thickBot="1" x14ac:dyDescent="0.3">
      <c r="A48" s="46" t="s">
        <v>13</v>
      </c>
      <c r="B48" s="55"/>
      <c r="C48" s="55"/>
      <c r="D48" s="55">
        <f>SUM(D11:D47)</f>
        <v>0</v>
      </c>
      <c r="E48" s="55">
        <f t="shared" ref="E48:I48" si="6">SUM(E11:E47)</f>
        <v>0</v>
      </c>
      <c r="F48" s="55">
        <f t="shared" si="6"/>
        <v>55986420</v>
      </c>
      <c r="G48" s="74"/>
      <c r="H48" s="85">
        <f t="shared" si="6"/>
        <v>58511880</v>
      </c>
      <c r="I48" s="93">
        <f t="shared" si="6"/>
        <v>27928370.795388617</v>
      </c>
      <c r="J48" s="43"/>
      <c r="K48" s="43"/>
      <c r="L48" s="43"/>
      <c r="M48" s="13"/>
    </row>
    <row r="49" spans="1:8" x14ac:dyDescent="0.25">
      <c r="A49" s="62"/>
      <c r="B49" s="15"/>
      <c r="C49" s="15"/>
      <c r="D49" s="15"/>
      <c r="E49" s="26"/>
      <c r="F49" s="27"/>
      <c r="G49" s="27"/>
      <c r="H49" s="27"/>
    </row>
    <row r="50" spans="1:8" x14ac:dyDescent="0.25">
      <c r="A50" s="40"/>
      <c r="E50" s="28"/>
      <c r="F50" s="29"/>
      <c r="G50" s="29"/>
      <c r="H50" s="29"/>
    </row>
    <row r="51" spans="1:8" x14ac:dyDescent="0.25">
      <c r="B51" s="15"/>
      <c r="C51" s="15"/>
      <c r="D51" s="15"/>
      <c r="E51" s="26"/>
      <c r="F51" s="27"/>
      <c r="G51" s="27"/>
      <c r="H51" s="27"/>
    </row>
    <row r="52" spans="1:8" ht="15.75" thickBot="1" x14ac:dyDescent="0.3">
      <c r="A52" s="36" t="s">
        <v>5</v>
      </c>
      <c r="B52" s="2"/>
      <c r="C52" s="2"/>
      <c r="D52" s="2"/>
    </row>
    <row r="53" spans="1:8" x14ac:dyDescent="0.25">
      <c r="A53" s="5" t="s">
        <v>8</v>
      </c>
      <c r="B53" s="56"/>
      <c r="C53" s="56"/>
      <c r="D53" s="56"/>
    </row>
    <row r="54" spans="1:8" x14ac:dyDescent="0.25">
      <c r="A54" s="6" t="s">
        <v>9</v>
      </c>
      <c r="B54" s="57"/>
      <c r="C54" s="57"/>
      <c r="D54" s="57">
        <v>30</v>
      </c>
    </row>
    <row r="55" spans="1:8" x14ac:dyDescent="0.25">
      <c r="A55" s="6" t="s">
        <v>39</v>
      </c>
      <c r="B55" s="58"/>
      <c r="C55" s="58"/>
      <c r="D55" s="58">
        <f>H10</f>
        <v>0</v>
      </c>
    </row>
    <row r="56" spans="1:8" x14ac:dyDescent="0.25">
      <c r="A56" s="6" t="s">
        <v>29</v>
      </c>
      <c r="B56" s="59"/>
      <c r="C56" s="59"/>
      <c r="D56" s="59" t="e">
        <f>D55*((D53-D54)/D53)</f>
        <v>#DIV/0!</v>
      </c>
      <c r="E56" s="2"/>
    </row>
    <row r="57" spans="1:8" ht="30.75" thickBot="1" x14ac:dyDescent="0.3">
      <c r="A57" s="60" t="s">
        <v>40</v>
      </c>
      <c r="B57" s="61"/>
      <c r="C57" s="61"/>
      <c r="D57" s="61" t="e">
        <f>D56*(1.07)^-D54</f>
        <v>#DIV/0!</v>
      </c>
    </row>
    <row r="58" spans="1:8" x14ac:dyDescent="0.25">
      <c r="B58" s="15"/>
      <c r="C58" s="15"/>
      <c r="D58" s="15"/>
      <c r="E58" s="26"/>
      <c r="F58" s="27"/>
      <c r="G58" s="27"/>
      <c r="H58" s="27"/>
    </row>
    <row r="59" spans="1:8" x14ac:dyDescent="0.25">
      <c r="A59" s="8"/>
      <c r="B59" s="15"/>
      <c r="C59" s="15"/>
      <c r="D59" s="15"/>
      <c r="E59" s="26"/>
      <c r="F59" s="30"/>
      <c r="G59" s="30"/>
      <c r="H59" s="27"/>
    </row>
    <row r="60" spans="1:8" x14ac:dyDescent="0.25">
      <c r="B60" s="15"/>
      <c r="C60" s="15"/>
      <c r="D60" s="15"/>
      <c r="E60" s="26"/>
      <c r="F60" s="2"/>
      <c r="G60" s="2"/>
      <c r="H60" s="2"/>
    </row>
    <row r="61" spans="1:8" x14ac:dyDescent="0.25">
      <c r="B61" s="15"/>
      <c r="C61" s="15"/>
      <c r="D61" s="15"/>
      <c r="E61" s="26"/>
      <c r="F61" s="2"/>
      <c r="G61" s="2"/>
      <c r="H61" s="2"/>
    </row>
    <row r="62" spans="1:8" x14ac:dyDescent="0.25">
      <c r="A62" s="1"/>
      <c r="B62" s="16"/>
      <c r="C62" s="16"/>
      <c r="D62" s="16"/>
      <c r="E62" s="2"/>
      <c r="F62" s="2"/>
      <c r="G62" s="2"/>
      <c r="H62" s="2"/>
    </row>
    <row r="63" spans="1:8" x14ac:dyDescent="0.25">
      <c r="B63" s="15"/>
      <c r="C63" s="15"/>
      <c r="D63" s="15"/>
      <c r="E63" s="26"/>
      <c r="F63" s="2"/>
      <c r="G63" s="2"/>
      <c r="H63" s="2"/>
    </row>
    <row r="64" spans="1:8" x14ac:dyDescent="0.25">
      <c r="B64" s="17"/>
      <c r="C64" s="17"/>
      <c r="D64" s="17"/>
      <c r="E64" s="2"/>
      <c r="F64" s="31"/>
      <c r="G64" s="31"/>
      <c r="H64" s="2"/>
    </row>
    <row r="65" spans="1:8" x14ac:dyDescent="0.25">
      <c r="B65" s="17"/>
      <c r="C65" s="17"/>
      <c r="D65" s="17"/>
      <c r="F65" s="19"/>
      <c r="G65" s="19"/>
      <c r="H65" s="4"/>
    </row>
    <row r="66" spans="1:8" x14ac:dyDescent="0.25">
      <c r="B66" s="17"/>
      <c r="C66" s="17"/>
      <c r="D66" s="17"/>
      <c r="F66" s="18"/>
      <c r="G66" s="18"/>
    </row>
    <row r="67" spans="1:8" x14ac:dyDescent="0.25">
      <c r="B67" s="17"/>
      <c r="C67" s="17"/>
      <c r="D67" s="17"/>
      <c r="F67" s="18"/>
      <c r="G67" s="18"/>
    </row>
    <row r="68" spans="1:8" x14ac:dyDescent="0.25">
      <c r="B68" s="17"/>
      <c r="C68" s="17"/>
      <c r="D68" s="17"/>
      <c r="F68" s="15"/>
      <c r="G68" s="15"/>
    </row>
    <row r="69" spans="1:8" x14ac:dyDescent="0.25">
      <c r="B69" s="17"/>
      <c r="C69" s="17"/>
      <c r="D69" s="17"/>
      <c r="F69" s="15"/>
      <c r="G69" s="15"/>
    </row>
    <row r="70" spans="1:8" x14ac:dyDescent="0.25">
      <c r="B70" s="17"/>
      <c r="C70" s="17"/>
      <c r="D70" s="17"/>
      <c r="F70" s="15"/>
      <c r="G70" s="15"/>
    </row>
    <row r="71" spans="1:8" x14ac:dyDescent="0.25">
      <c r="B71" s="17"/>
      <c r="C71" s="17"/>
      <c r="D71" s="17"/>
      <c r="F71" s="20"/>
      <c r="G71" s="20"/>
    </row>
    <row r="72" spans="1:8" x14ac:dyDescent="0.25">
      <c r="B72" s="17"/>
      <c r="C72" s="17"/>
      <c r="D72" s="17"/>
      <c r="F72" s="20"/>
      <c r="G72" s="20"/>
    </row>
    <row r="73" spans="1:8" x14ac:dyDescent="0.25">
      <c r="E73" s="4"/>
    </row>
    <row r="74" spans="1:8" x14ac:dyDescent="0.25">
      <c r="A74" s="17"/>
      <c r="B74" s="21"/>
      <c r="C74" s="21"/>
      <c r="D74" s="21"/>
      <c r="E74" s="22"/>
      <c r="F74" s="21"/>
      <c r="G74" s="21"/>
    </row>
    <row r="75" spans="1:8" x14ac:dyDescent="0.25">
      <c r="A75" s="17"/>
      <c r="B75" s="21"/>
      <c r="C75" s="21"/>
      <c r="D75" s="21"/>
      <c r="E75" s="22"/>
      <c r="F75" s="21"/>
      <c r="G75" s="21"/>
    </row>
    <row r="76" spans="1:8" x14ac:dyDescent="0.25">
      <c r="A76" s="17"/>
      <c r="B76" s="21"/>
      <c r="C76" s="21"/>
      <c r="D76" s="21"/>
      <c r="E76" s="22"/>
      <c r="F76" s="21"/>
      <c r="G76" s="21"/>
    </row>
    <row r="77" spans="1:8" x14ac:dyDescent="0.25">
      <c r="A77" s="17"/>
      <c r="B77" s="21"/>
      <c r="C77" s="21"/>
      <c r="D77" s="21"/>
      <c r="E77" s="22"/>
      <c r="F77" s="21"/>
      <c r="G77" s="21"/>
    </row>
    <row r="78" spans="1:8" x14ac:dyDescent="0.25">
      <c r="A78" s="17"/>
      <c r="E78" s="4"/>
      <c r="F78" s="21"/>
      <c r="G78" s="21"/>
    </row>
    <row r="79" spans="1:8" x14ac:dyDescent="0.25">
      <c r="A79" s="17"/>
      <c r="B79" s="15"/>
      <c r="C79" s="15"/>
      <c r="D79" s="15"/>
    </row>
    <row r="80" spans="1:8" x14ac:dyDescent="0.25">
      <c r="A80" s="23"/>
    </row>
    <row r="81" spans="1:8" x14ac:dyDescent="0.25">
      <c r="A81" s="23"/>
      <c r="B81" s="125"/>
      <c r="C81" s="125"/>
      <c r="D81" s="38"/>
      <c r="E81" s="38"/>
      <c r="F81" s="38"/>
      <c r="G81" s="125"/>
      <c r="H81" s="38"/>
    </row>
    <row r="82" spans="1:8" x14ac:dyDescent="0.25">
      <c r="A82" s="17"/>
      <c r="B82" s="25"/>
      <c r="C82" s="25"/>
      <c r="D82" s="25"/>
      <c r="E82" s="25"/>
      <c r="F82" s="25"/>
      <c r="G82" s="25"/>
      <c r="H82" s="25"/>
    </row>
    <row r="83" spans="1:8" x14ac:dyDescent="0.25">
      <c r="A83" s="17"/>
      <c r="B83" s="25"/>
      <c r="C83" s="25"/>
      <c r="D83" s="25"/>
      <c r="E83" s="25"/>
      <c r="F83" s="25"/>
      <c r="G83" s="25"/>
      <c r="H83" s="25"/>
    </row>
    <row r="84" spans="1:8" x14ac:dyDescent="0.25">
      <c r="A84" s="17"/>
      <c r="B84" s="24"/>
      <c r="C84" s="24"/>
      <c r="D84" s="24"/>
      <c r="E84" s="24"/>
      <c r="F84" s="24"/>
      <c r="G84" s="24"/>
      <c r="H84" s="24"/>
    </row>
    <row r="85" spans="1:8" x14ac:dyDescent="0.25">
      <c r="A85" s="17"/>
      <c r="B85" s="24"/>
      <c r="C85" s="24"/>
      <c r="D85" s="24"/>
      <c r="E85" s="24"/>
      <c r="F85" s="24"/>
      <c r="G85" s="24"/>
      <c r="H85" s="24"/>
    </row>
    <row r="86" spans="1:8" x14ac:dyDescent="0.25">
      <c r="A86" s="17"/>
      <c r="B86" s="24"/>
      <c r="C86" s="24"/>
      <c r="D86" s="24"/>
      <c r="E86" s="24"/>
      <c r="F86" s="24"/>
      <c r="G86" s="24"/>
      <c r="H86" s="24"/>
    </row>
    <row r="87" spans="1:8" x14ac:dyDescent="0.25">
      <c r="A87" s="17"/>
      <c r="B87" s="24"/>
      <c r="C87" s="24"/>
      <c r="D87" s="24"/>
      <c r="E87" s="24"/>
      <c r="F87" s="24"/>
      <c r="G87" s="24"/>
      <c r="H87" s="24"/>
    </row>
    <row r="88" spans="1:8" x14ac:dyDescent="0.25">
      <c r="A88" s="17"/>
      <c r="B88" s="24"/>
      <c r="C88" s="24"/>
      <c r="D88" s="24"/>
      <c r="E88" s="24"/>
      <c r="F88" s="24"/>
      <c r="G88" s="24"/>
      <c r="H88" s="24"/>
    </row>
    <row r="89" spans="1:8" x14ac:dyDescent="0.25">
      <c r="A89" s="17"/>
      <c r="B89" s="24"/>
      <c r="C89" s="24"/>
      <c r="D89" s="24"/>
      <c r="E89" s="24"/>
      <c r="F89" s="24"/>
      <c r="G89" s="24"/>
      <c r="H89" s="24"/>
    </row>
    <row r="90" spans="1:8" x14ac:dyDescent="0.25">
      <c r="A90" s="17"/>
      <c r="B90" s="24"/>
      <c r="C90" s="24"/>
      <c r="D90" s="24"/>
      <c r="E90" s="24"/>
      <c r="F90" s="24"/>
      <c r="G90" s="24"/>
      <c r="H90" s="24"/>
    </row>
    <row r="91" spans="1:8" x14ac:dyDescent="0.25">
      <c r="A91" s="17"/>
      <c r="B91" s="24"/>
      <c r="C91" s="24"/>
      <c r="D91" s="24"/>
      <c r="E91" s="24"/>
      <c r="F91" s="24"/>
      <c r="G91" s="24"/>
      <c r="H91" s="24"/>
    </row>
    <row r="92" spans="1:8" x14ac:dyDescent="0.25">
      <c r="A92" s="17"/>
      <c r="B92" s="24"/>
      <c r="C92" s="24"/>
      <c r="D92" s="24"/>
      <c r="E92" s="24"/>
      <c r="F92" s="24"/>
      <c r="G92" s="24"/>
      <c r="H92" s="24"/>
    </row>
    <row r="93" spans="1:8" x14ac:dyDescent="0.25">
      <c r="A93" s="17"/>
      <c r="B93" s="24"/>
      <c r="C93" s="24"/>
      <c r="D93" s="24"/>
      <c r="E93" s="24"/>
      <c r="F93" s="24"/>
      <c r="G93" s="24"/>
      <c r="H93" s="24"/>
    </row>
    <row r="94" spans="1:8" x14ac:dyDescent="0.25">
      <c r="A94" s="17"/>
      <c r="B94" s="24"/>
      <c r="C94" s="24"/>
      <c r="D94" s="24"/>
      <c r="E94" s="24"/>
      <c r="F94" s="24"/>
      <c r="G94" s="24"/>
      <c r="H94" s="24"/>
    </row>
    <row r="95" spans="1:8" x14ac:dyDescent="0.25">
      <c r="A95" s="17"/>
      <c r="B95" s="24"/>
      <c r="C95" s="24"/>
      <c r="D95" s="24"/>
      <c r="E95" s="24"/>
      <c r="F95" s="24"/>
      <c r="G95" s="24"/>
      <c r="H95" s="24"/>
    </row>
    <row r="96" spans="1:8" x14ac:dyDescent="0.25">
      <c r="A96" s="17"/>
      <c r="B96" s="24"/>
      <c r="C96" s="24"/>
      <c r="D96" s="24"/>
      <c r="E96" s="24"/>
      <c r="F96" s="24"/>
      <c r="G96" s="24"/>
      <c r="H96" s="24"/>
    </row>
  </sheetData>
  <pageMargins left="0.7" right="0.7" top="0.75" bottom="0.75" header="0.3" footer="0.3"/>
  <pageSetup scale="58" orientation="landscape" horizontalDpi="300" verticalDpi="300" r:id="rId1"/>
  <headerFooter>
    <oddHeader>&amp;LBCA Analysis&amp;CI-680 MOD</oddHeader>
    <oddFooter>&amp;RPage 2 of 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1A23A-BCDF-449D-AC8C-4A764BD5EA5E}">
  <dimension ref="A1:AH20"/>
  <sheetViews>
    <sheetView topLeftCell="E1" zoomScale="80" zoomScaleNormal="80" workbookViewId="0">
      <selection activeCell="AE4" sqref="AE4"/>
    </sheetView>
  </sheetViews>
  <sheetFormatPr defaultRowHeight="15" x14ac:dyDescent="0.25"/>
  <cols>
    <col min="1" max="1" width="21.85546875" customWidth="1"/>
    <col min="2" max="2" width="12.28515625" customWidth="1"/>
    <col min="4" max="4" width="19.42578125" customWidth="1"/>
    <col min="9" max="9" width="13.5703125" customWidth="1"/>
    <col min="10" max="10" width="17" customWidth="1"/>
    <col min="11" max="11" width="15.5703125" customWidth="1"/>
    <col min="12" max="12" width="11.7109375" customWidth="1"/>
    <col min="26" max="29" width="15.140625" bestFit="1" customWidth="1"/>
    <col min="30" max="30" width="8.7109375" customWidth="1"/>
    <col min="31" max="31" width="16.28515625" bestFit="1" customWidth="1"/>
    <col min="33" max="33" width="13.42578125" customWidth="1"/>
    <col min="34" max="34" width="12.7109375" customWidth="1"/>
  </cols>
  <sheetData>
    <row r="1" spans="1:34" ht="75.75" x14ac:dyDescent="0.3">
      <c r="A1" s="113" t="s">
        <v>59</v>
      </c>
      <c r="B1" s="169"/>
      <c r="C1" s="169"/>
      <c r="D1" s="167"/>
      <c r="E1" s="571" t="s">
        <v>60</v>
      </c>
      <c r="F1" s="572"/>
      <c r="G1" s="572"/>
      <c r="H1" s="572"/>
      <c r="I1" s="572"/>
      <c r="J1" s="560" t="s">
        <v>61</v>
      </c>
      <c r="K1" s="561"/>
      <c r="L1" s="562"/>
      <c r="M1" s="174" t="s">
        <v>62</v>
      </c>
      <c r="N1" s="580" t="s">
        <v>63</v>
      </c>
      <c r="O1" s="581"/>
      <c r="P1" s="581"/>
      <c r="Q1" s="581"/>
      <c r="R1" s="582"/>
      <c r="S1" s="558" t="s">
        <v>64</v>
      </c>
      <c r="T1" s="559"/>
      <c r="U1" s="559"/>
      <c r="V1" s="559"/>
      <c r="W1" s="559"/>
      <c r="X1" s="166"/>
    </row>
    <row r="2" spans="1:34" ht="39.75" x14ac:dyDescent="0.3">
      <c r="A2" s="168"/>
      <c r="B2" s="169"/>
      <c r="C2" s="169"/>
      <c r="D2" s="167"/>
      <c r="E2" s="171"/>
      <c r="F2" s="170"/>
      <c r="G2" s="170"/>
      <c r="H2" s="170"/>
      <c r="I2" s="170"/>
      <c r="J2" s="578"/>
      <c r="K2" s="579"/>
      <c r="L2" s="579"/>
      <c r="M2" s="579"/>
      <c r="N2" s="573"/>
      <c r="O2" s="574"/>
      <c r="P2" s="574"/>
      <c r="Q2" s="574"/>
      <c r="R2" s="575"/>
      <c r="S2" s="175" t="s">
        <v>65</v>
      </c>
      <c r="T2" s="173" t="s">
        <v>66</v>
      </c>
      <c r="U2" s="173" t="s">
        <v>67</v>
      </c>
      <c r="V2" s="173" t="s">
        <v>68</v>
      </c>
      <c r="W2" s="172"/>
      <c r="X2" s="166"/>
      <c r="Z2" s="477" t="s">
        <v>489</v>
      </c>
    </row>
    <row r="3" spans="1:34" s="166" customFormat="1" ht="169.5" thickBot="1" x14ac:dyDescent="0.35">
      <c r="A3" s="189" t="s">
        <v>69</v>
      </c>
      <c r="B3" s="189" t="s">
        <v>70</v>
      </c>
      <c r="C3" s="185" t="s">
        <v>71</v>
      </c>
      <c r="D3" s="190" t="s">
        <v>72</v>
      </c>
      <c r="E3" s="188" t="s">
        <v>73</v>
      </c>
      <c r="F3" s="188" t="s">
        <v>74</v>
      </c>
      <c r="G3" s="188" t="s">
        <v>75</v>
      </c>
      <c r="H3" s="188" t="s">
        <v>76</v>
      </c>
      <c r="I3" s="187" t="s">
        <v>77</v>
      </c>
      <c r="J3" s="576" t="s">
        <v>78</v>
      </c>
      <c r="K3" s="577"/>
      <c r="L3" s="191" t="s">
        <v>79</v>
      </c>
      <c r="M3" s="193" t="s">
        <v>62</v>
      </c>
      <c r="N3" s="195" t="s">
        <v>73</v>
      </c>
      <c r="O3" s="184" t="s">
        <v>74</v>
      </c>
      <c r="P3" s="184" t="s">
        <v>75</v>
      </c>
      <c r="Q3" s="184" t="s">
        <v>76</v>
      </c>
      <c r="R3" s="196" t="s">
        <v>80</v>
      </c>
      <c r="S3" s="194" t="s">
        <v>73</v>
      </c>
      <c r="T3" s="186" t="s">
        <v>74</v>
      </c>
      <c r="U3" s="186" t="s">
        <v>75</v>
      </c>
      <c r="V3" s="186" t="s">
        <v>76</v>
      </c>
      <c r="W3" s="186" t="s">
        <v>81</v>
      </c>
      <c r="X3" s="192" t="s">
        <v>82</v>
      </c>
      <c r="Z3" s="190" t="s">
        <v>72</v>
      </c>
      <c r="AA3" s="188" t="s">
        <v>73</v>
      </c>
      <c r="AB3" s="188" t="s">
        <v>74</v>
      </c>
      <c r="AC3" s="188" t="s">
        <v>75</v>
      </c>
      <c r="AD3" s="188" t="s">
        <v>76</v>
      </c>
      <c r="AE3" s="187" t="s">
        <v>77</v>
      </c>
      <c r="AG3" s="393" t="s">
        <v>79</v>
      </c>
      <c r="AH3" s="394" t="s">
        <v>62</v>
      </c>
    </row>
    <row r="4" spans="1:34" ht="18.75" x14ac:dyDescent="0.3">
      <c r="A4" s="565" t="s">
        <v>47</v>
      </c>
      <c r="B4" s="563"/>
      <c r="C4" s="568" t="s">
        <v>20</v>
      </c>
      <c r="D4" s="388">
        <v>1451</v>
      </c>
      <c r="E4" s="388">
        <v>749</v>
      </c>
      <c r="F4" s="388">
        <v>508</v>
      </c>
      <c r="G4" s="388"/>
      <c r="H4" s="388"/>
      <c r="I4" s="388">
        <v>2708</v>
      </c>
      <c r="J4" s="150" t="s">
        <v>48</v>
      </c>
      <c r="K4" s="150" t="s">
        <v>49</v>
      </c>
      <c r="L4" s="151">
        <v>1218</v>
      </c>
      <c r="M4" s="157">
        <v>314</v>
      </c>
      <c r="N4" s="158"/>
      <c r="O4" s="140"/>
      <c r="P4" s="140"/>
      <c r="Q4" s="140"/>
      <c r="R4" s="159">
        <v>0</v>
      </c>
      <c r="S4" s="165">
        <v>0</v>
      </c>
      <c r="T4" s="136">
        <v>0</v>
      </c>
      <c r="U4" s="136">
        <v>0</v>
      </c>
      <c r="V4" s="136">
        <v>0</v>
      </c>
      <c r="W4" s="156">
        <v>0</v>
      </c>
      <c r="X4" s="160"/>
      <c r="Z4" s="480">
        <f>D4*Parameters!$G$40</f>
        <v>1421.98</v>
      </c>
      <c r="AA4" s="480">
        <f>E4*Parameters!$G$40</f>
        <v>734.02</v>
      </c>
      <c r="AB4" s="480">
        <f>F4*Parameters!$G$40</f>
        <v>497.84</v>
      </c>
      <c r="AC4" s="480">
        <f>G4*Parameters!$G$40</f>
        <v>0</v>
      </c>
      <c r="AD4" s="480">
        <f>H4*Parameters!$G$40</f>
        <v>0</v>
      </c>
      <c r="AE4" s="480">
        <f>I4*Parameters!$G$40</f>
        <v>2653.84</v>
      </c>
      <c r="AG4" s="478">
        <f>L4*Parameters!$G$40</f>
        <v>1193.6399999999999</v>
      </c>
      <c r="AH4" s="478">
        <f>M4*1000*Parameters!$G$40</f>
        <v>307720</v>
      </c>
    </row>
    <row r="5" spans="1:34" ht="30.75" x14ac:dyDescent="0.3">
      <c r="A5" s="566"/>
      <c r="B5" s="564"/>
      <c r="C5" s="569"/>
      <c r="D5" s="386"/>
      <c r="E5" s="386"/>
      <c r="F5" s="386"/>
      <c r="G5" s="386"/>
      <c r="H5" s="386"/>
      <c r="I5" s="386"/>
      <c r="J5" s="134" t="s">
        <v>50</v>
      </c>
      <c r="K5" s="153" t="s">
        <v>51</v>
      </c>
      <c r="L5" s="133">
        <v>1389</v>
      </c>
      <c r="M5" s="148">
        <v>852</v>
      </c>
      <c r="N5" s="154"/>
      <c r="O5" s="132"/>
      <c r="P5" s="132"/>
      <c r="Q5" s="132"/>
      <c r="R5" s="143">
        <v>0</v>
      </c>
      <c r="S5" s="163">
        <v>0</v>
      </c>
      <c r="T5" s="135">
        <v>0</v>
      </c>
      <c r="U5" s="135">
        <v>0</v>
      </c>
      <c r="V5" s="135">
        <v>0</v>
      </c>
      <c r="W5" s="141">
        <v>0</v>
      </c>
      <c r="X5" s="160"/>
      <c r="Z5" s="480">
        <f>D5*Parameters!$G$40</f>
        <v>0</v>
      </c>
      <c r="AA5" s="480">
        <f>E5*Parameters!$G$40</f>
        <v>0</v>
      </c>
      <c r="AB5" s="480">
        <f>F5*Parameters!$G$40</f>
        <v>0</v>
      </c>
      <c r="AC5" s="480">
        <f>G5*Parameters!$G$40</f>
        <v>0</v>
      </c>
      <c r="AD5" s="480">
        <f>H5*Parameters!$G$40</f>
        <v>0</v>
      </c>
      <c r="AE5" s="480">
        <f>I5*Parameters!$G$40</f>
        <v>0</v>
      </c>
      <c r="AG5" s="478">
        <f>L5*Parameters!$G$40</f>
        <v>1361.22</v>
      </c>
      <c r="AH5" s="478">
        <f>M5*1000*Parameters!$G$40</f>
        <v>834960</v>
      </c>
    </row>
    <row r="6" spans="1:34" ht="18.75" x14ac:dyDescent="0.3">
      <c r="A6" s="566"/>
      <c r="B6" s="564"/>
      <c r="C6" s="569"/>
      <c r="D6" s="386"/>
      <c r="E6" s="386"/>
      <c r="F6" s="386"/>
      <c r="G6" s="386"/>
      <c r="H6" s="386"/>
      <c r="I6" s="386"/>
      <c r="J6" s="134" t="s">
        <v>50</v>
      </c>
      <c r="K6" s="153" t="s">
        <v>52</v>
      </c>
      <c r="L6" s="133">
        <v>101</v>
      </c>
      <c r="M6" s="148">
        <v>91</v>
      </c>
      <c r="N6" s="154"/>
      <c r="O6" s="132"/>
      <c r="P6" s="132"/>
      <c r="Q6" s="132"/>
      <c r="R6" s="143">
        <v>0</v>
      </c>
      <c r="S6" s="163">
        <v>0</v>
      </c>
      <c r="T6" s="135">
        <v>0</v>
      </c>
      <c r="U6" s="135">
        <v>0</v>
      </c>
      <c r="V6" s="135">
        <v>0</v>
      </c>
      <c r="W6" s="141">
        <v>0</v>
      </c>
      <c r="X6" s="160"/>
      <c r="Z6" s="480">
        <f>D6*Parameters!$G$40</f>
        <v>0</v>
      </c>
      <c r="AA6" s="480">
        <f>E6*Parameters!$G$40</f>
        <v>0</v>
      </c>
      <c r="AB6" s="480">
        <f>F6*Parameters!$G$40</f>
        <v>0</v>
      </c>
      <c r="AC6" s="480">
        <f>G6*Parameters!$G$40</f>
        <v>0</v>
      </c>
      <c r="AD6" s="480">
        <f>H6*Parameters!$G$40</f>
        <v>0</v>
      </c>
      <c r="AE6" s="480">
        <f>I6*Parameters!$G$40</f>
        <v>0</v>
      </c>
      <c r="AG6" s="478">
        <f>L6*Parameters!$G$40</f>
        <v>98.98</v>
      </c>
      <c r="AH6" s="478">
        <f>M6*1000*Parameters!$G$40</f>
        <v>89180</v>
      </c>
    </row>
    <row r="7" spans="1:34" ht="18.75" x14ac:dyDescent="0.3">
      <c r="A7" s="566"/>
      <c r="B7" s="564"/>
      <c r="C7" s="569" t="s">
        <v>53</v>
      </c>
      <c r="D7" s="386">
        <v>410</v>
      </c>
      <c r="E7" s="386">
        <v>15</v>
      </c>
      <c r="F7" s="386"/>
      <c r="G7" s="386"/>
      <c r="H7" s="386"/>
      <c r="I7" s="386">
        <v>425</v>
      </c>
      <c r="J7" s="145" t="s">
        <v>48</v>
      </c>
      <c r="K7" s="145" t="s">
        <v>49</v>
      </c>
      <c r="L7" s="146">
        <v>345</v>
      </c>
      <c r="M7" s="147">
        <v>0</v>
      </c>
      <c r="N7" s="154"/>
      <c r="O7" s="132"/>
      <c r="P7" s="132"/>
      <c r="Q7" s="132"/>
      <c r="R7" s="143">
        <v>0</v>
      </c>
      <c r="S7" s="163">
        <v>0</v>
      </c>
      <c r="T7" s="135">
        <v>0</v>
      </c>
      <c r="U7" s="135">
        <v>0</v>
      </c>
      <c r="V7" s="135">
        <v>0</v>
      </c>
      <c r="W7" s="141">
        <v>0</v>
      </c>
      <c r="X7" s="160"/>
      <c r="Z7" s="480">
        <f>D7*Parameters!$G$40</f>
        <v>401.8</v>
      </c>
      <c r="AA7" s="480">
        <f>E7*Parameters!$G$40</f>
        <v>14.7</v>
      </c>
      <c r="AB7" s="480">
        <f>F7*Parameters!$G$40</f>
        <v>0</v>
      </c>
      <c r="AC7" s="480">
        <f>G7*Parameters!$G$40</f>
        <v>0</v>
      </c>
      <c r="AD7" s="480">
        <f>H7*Parameters!$G$40</f>
        <v>0</v>
      </c>
      <c r="AE7" s="480">
        <f>I7*Parameters!$G$40</f>
        <v>416.5</v>
      </c>
      <c r="AG7" s="478">
        <f>L7*Parameters!$G$40</f>
        <v>338.09999999999997</v>
      </c>
      <c r="AH7" s="478">
        <f>M7*1000*Parameters!$G$40</f>
        <v>0</v>
      </c>
    </row>
    <row r="8" spans="1:34" ht="30.75" x14ac:dyDescent="0.3">
      <c r="A8" s="566"/>
      <c r="B8" s="564"/>
      <c r="C8" s="569"/>
      <c r="D8" s="386"/>
      <c r="E8" s="386"/>
      <c r="F8" s="386"/>
      <c r="G8" s="386"/>
      <c r="H8" s="386"/>
      <c r="I8" s="386"/>
      <c r="J8" s="134" t="s">
        <v>50</v>
      </c>
      <c r="K8" s="153" t="s">
        <v>51</v>
      </c>
      <c r="L8" s="133">
        <v>44</v>
      </c>
      <c r="M8" s="148">
        <v>0</v>
      </c>
      <c r="N8" s="154"/>
      <c r="O8" s="132"/>
      <c r="P8" s="132"/>
      <c r="Q8" s="132"/>
      <c r="R8" s="143">
        <v>0</v>
      </c>
      <c r="S8" s="163">
        <v>0</v>
      </c>
      <c r="T8" s="135">
        <v>0</v>
      </c>
      <c r="U8" s="135">
        <v>0</v>
      </c>
      <c r="V8" s="135">
        <v>0</v>
      </c>
      <c r="W8" s="141">
        <v>0</v>
      </c>
      <c r="X8" s="160"/>
      <c r="Z8" s="480">
        <f>D8*Parameters!$G$40</f>
        <v>0</v>
      </c>
      <c r="AA8" s="480">
        <f>E8*Parameters!$G$40</f>
        <v>0</v>
      </c>
      <c r="AB8" s="480">
        <f>F8*Parameters!$G$40</f>
        <v>0</v>
      </c>
      <c r="AC8" s="480">
        <f>G8*Parameters!$G$40</f>
        <v>0</v>
      </c>
      <c r="AD8" s="480">
        <f>H8*Parameters!$G$40</f>
        <v>0</v>
      </c>
      <c r="AE8" s="480">
        <f>I8*Parameters!$G$40</f>
        <v>0</v>
      </c>
      <c r="AG8" s="478">
        <f>L8*Parameters!$G$40</f>
        <v>43.12</v>
      </c>
      <c r="AH8" s="478">
        <f>M8*1000*Parameters!$G$40</f>
        <v>0</v>
      </c>
    </row>
    <row r="9" spans="1:34" ht="18.75" x14ac:dyDescent="0.3">
      <c r="A9" s="566"/>
      <c r="B9" s="564"/>
      <c r="C9" s="569"/>
      <c r="D9" s="386"/>
      <c r="E9" s="386"/>
      <c r="F9" s="386"/>
      <c r="G9" s="386"/>
      <c r="H9" s="386"/>
      <c r="I9" s="386"/>
      <c r="J9" s="134" t="s">
        <v>50</v>
      </c>
      <c r="K9" s="153" t="s">
        <v>52</v>
      </c>
      <c r="L9" s="133">
        <v>26</v>
      </c>
      <c r="M9" s="148">
        <v>5</v>
      </c>
      <c r="N9" s="154"/>
      <c r="O9" s="132"/>
      <c r="P9" s="132"/>
      <c r="Q9" s="132"/>
      <c r="R9" s="143">
        <v>0</v>
      </c>
      <c r="S9" s="163">
        <v>0</v>
      </c>
      <c r="T9" s="135">
        <v>0</v>
      </c>
      <c r="U9" s="135">
        <v>0</v>
      </c>
      <c r="V9" s="135">
        <v>0</v>
      </c>
      <c r="W9" s="141">
        <v>0</v>
      </c>
      <c r="X9" s="160"/>
      <c r="Z9" s="480">
        <f>D9*Parameters!$G$40</f>
        <v>0</v>
      </c>
      <c r="AA9" s="480">
        <f>E9*Parameters!$G$40</f>
        <v>0</v>
      </c>
      <c r="AB9" s="480">
        <f>F9*Parameters!$G$40</f>
        <v>0</v>
      </c>
      <c r="AC9" s="480">
        <f>G9*Parameters!$G$40</f>
        <v>0</v>
      </c>
      <c r="AD9" s="480">
        <f>H9*Parameters!$G$40</f>
        <v>0</v>
      </c>
      <c r="AE9" s="480">
        <f>I9*Parameters!$G$40</f>
        <v>0</v>
      </c>
      <c r="AG9" s="478">
        <f>L9*Parameters!$G$40</f>
        <v>25.48</v>
      </c>
      <c r="AH9" s="478">
        <f>M9*1000*Parameters!$G$40</f>
        <v>4900</v>
      </c>
    </row>
    <row r="10" spans="1:34" ht="18.75" x14ac:dyDescent="0.3">
      <c r="A10" s="566"/>
      <c r="B10" s="564"/>
      <c r="C10" s="569"/>
      <c r="D10" s="386"/>
      <c r="E10" s="386"/>
      <c r="F10" s="386"/>
      <c r="G10" s="386"/>
      <c r="H10" s="386"/>
      <c r="I10" s="386"/>
      <c r="J10" s="134" t="s">
        <v>50</v>
      </c>
      <c r="K10" s="153" t="s">
        <v>54</v>
      </c>
      <c r="L10" s="133">
        <v>10</v>
      </c>
      <c r="M10" s="148">
        <v>10</v>
      </c>
      <c r="N10" s="154"/>
      <c r="O10" s="132"/>
      <c r="P10" s="132"/>
      <c r="Q10" s="132"/>
      <c r="R10" s="143">
        <v>0</v>
      </c>
      <c r="S10" s="163">
        <v>0</v>
      </c>
      <c r="T10" s="135">
        <v>0</v>
      </c>
      <c r="U10" s="135">
        <v>0</v>
      </c>
      <c r="V10" s="135">
        <v>0</v>
      </c>
      <c r="W10" s="141">
        <v>0</v>
      </c>
      <c r="X10" s="160"/>
      <c r="Z10" s="480">
        <f>D10*Parameters!$G$40</f>
        <v>0</v>
      </c>
      <c r="AA10" s="480">
        <f>E10*Parameters!$G$40</f>
        <v>0</v>
      </c>
      <c r="AB10" s="480">
        <f>F10*Parameters!$G$40</f>
        <v>0</v>
      </c>
      <c r="AC10" s="480">
        <f>G10*Parameters!$G$40</f>
        <v>0</v>
      </c>
      <c r="AD10" s="480">
        <f>H10*Parameters!$G$40</f>
        <v>0</v>
      </c>
      <c r="AE10" s="480">
        <f>I10*Parameters!$G$40</f>
        <v>0</v>
      </c>
      <c r="AG10" s="478">
        <f>L10*Parameters!$G$40</f>
        <v>9.8000000000000007</v>
      </c>
      <c r="AH10" s="478">
        <f>M10*1000*Parameters!$G$40</f>
        <v>9800</v>
      </c>
    </row>
    <row r="11" spans="1:34" ht="18.75" x14ac:dyDescent="0.3">
      <c r="A11" s="566"/>
      <c r="B11" s="564"/>
      <c r="C11" s="569" t="s">
        <v>55</v>
      </c>
      <c r="D11" s="386">
        <v>1426</v>
      </c>
      <c r="E11" s="386">
        <v>726</v>
      </c>
      <c r="F11" s="386"/>
      <c r="G11" s="386"/>
      <c r="H11" s="386"/>
      <c r="I11" s="386">
        <v>2152</v>
      </c>
      <c r="J11" s="145" t="s">
        <v>48</v>
      </c>
      <c r="K11" s="145" t="s">
        <v>49</v>
      </c>
      <c r="L11" s="146">
        <v>1228</v>
      </c>
      <c r="M11" s="147">
        <v>280</v>
      </c>
      <c r="N11" s="154"/>
      <c r="O11" s="132"/>
      <c r="P11" s="132"/>
      <c r="Q11" s="132"/>
      <c r="R11" s="143">
        <v>0</v>
      </c>
      <c r="S11" s="163">
        <v>0</v>
      </c>
      <c r="T11" s="135">
        <v>0</v>
      </c>
      <c r="U11" s="135">
        <v>0</v>
      </c>
      <c r="V11" s="135">
        <v>0</v>
      </c>
      <c r="W11" s="141">
        <v>0</v>
      </c>
      <c r="X11" s="160"/>
      <c r="Z11" s="480">
        <f>D11*Parameters!$G$40</f>
        <v>1397.48</v>
      </c>
      <c r="AA11" s="480">
        <f>E11*Parameters!$G$40</f>
        <v>711.48</v>
      </c>
      <c r="AB11" s="480">
        <f>F11*Parameters!$G$40</f>
        <v>0</v>
      </c>
      <c r="AC11" s="480">
        <f>G11*Parameters!$G$40</f>
        <v>0</v>
      </c>
      <c r="AD11" s="480">
        <f>H11*Parameters!$G$40</f>
        <v>0</v>
      </c>
      <c r="AE11" s="480">
        <f>I11*Parameters!$G$40</f>
        <v>2108.96</v>
      </c>
      <c r="AG11" s="478">
        <f>L11*Parameters!$G$40</f>
        <v>1203.44</v>
      </c>
      <c r="AH11" s="478">
        <f>M11*1000*Parameters!$G$40</f>
        <v>274400</v>
      </c>
    </row>
    <row r="12" spans="1:34" ht="30.75" x14ac:dyDescent="0.3">
      <c r="A12" s="566"/>
      <c r="B12" s="564"/>
      <c r="C12" s="569"/>
      <c r="D12" s="386"/>
      <c r="E12" s="386"/>
      <c r="F12" s="386"/>
      <c r="G12" s="386"/>
      <c r="H12" s="386"/>
      <c r="I12" s="386"/>
      <c r="J12" s="134" t="s">
        <v>50</v>
      </c>
      <c r="K12" s="153" t="s">
        <v>51</v>
      </c>
      <c r="L12" s="133">
        <v>641</v>
      </c>
      <c r="M12" s="148">
        <v>237</v>
      </c>
      <c r="N12" s="154"/>
      <c r="O12" s="132"/>
      <c r="P12" s="132"/>
      <c r="Q12" s="132"/>
      <c r="R12" s="143">
        <v>0</v>
      </c>
      <c r="S12" s="163">
        <v>0</v>
      </c>
      <c r="T12" s="135">
        <v>0</v>
      </c>
      <c r="U12" s="135">
        <v>0</v>
      </c>
      <c r="V12" s="135">
        <v>0</v>
      </c>
      <c r="W12" s="141">
        <v>0</v>
      </c>
      <c r="X12" s="160"/>
      <c r="Z12" s="480">
        <f>D12*Parameters!$G$40</f>
        <v>0</v>
      </c>
      <c r="AA12" s="480">
        <f>E12*Parameters!$G$40</f>
        <v>0</v>
      </c>
      <c r="AB12" s="480">
        <f>F12*Parameters!$G$40</f>
        <v>0</v>
      </c>
      <c r="AC12" s="480">
        <f>G12*Parameters!$G$40</f>
        <v>0</v>
      </c>
      <c r="AD12" s="480">
        <f>H12*Parameters!$G$40</f>
        <v>0</v>
      </c>
      <c r="AE12" s="480">
        <f>I12*Parameters!$G$40</f>
        <v>0</v>
      </c>
      <c r="AG12" s="478">
        <f>L12*Parameters!$G$40</f>
        <v>628.17999999999995</v>
      </c>
      <c r="AH12" s="478">
        <f>M12*1000*Parameters!$G$40</f>
        <v>232260</v>
      </c>
    </row>
    <row r="13" spans="1:34" ht="18.75" x14ac:dyDescent="0.3">
      <c r="A13" s="566"/>
      <c r="B13" s="564"/>
      <c r="C13" s="569"/>
      <c r="D13" s="386"/>
      <c r="E13" s="386"/>
      <c r="F13" s="386"/>
      <c r="G13" s="386"/>
      <c r="H13" s="386"/>
      <c r="I13" s="386"/>
      <c r="J13" s="134" t="s">
        <v>50</v>
      </c>
      <c r="K13" s="153" t="s">
        <v>52</v>
      </c>
      <c r="L13" s="133">
        <v>152</v>
      </c>
      <c r="M13" s="148">
        <v>79</v>
      </c>
      <c r="N13" s="154"/>
      <c r="O13" s="132"/>
      <c r="P13" s="132"/>
      <c r="Q13" s="132"/>
      <c r="R13" s="143">
        <v>0</v>
      </c>
      <c r="S13" s="163">
        <v>0</v>
      </c>
      <c r="T13" s="135">
        <v>0</v>
      </c>
      <c r="U13" s="135">
        <v>0</v>
      </c>
      <c r="V13" s="135">
        <v>0</v>
      </c>
      <c r="W13" s="141">
        <v>0</v>
      </c>
      <c r="X13" s="160"/>
      <c r="Z13" s="480">
        <f>D13*Parameters!$G$40</f>
        <v>0</v>
      </c>
      <c r="AA13" s="480">
        <f>E13*Parameters!$G$40</f>
        <v>0</v>
      </c>
      <c r="AB13" s="480">
        <f>F13*Parameters!$G$40</f>
        <v>0</v>
      </c>
      <c r="AC13" s="480">
        <f>G13*Parameters!$G$40</f>
        <v>0</v>
      </c>
      <c r="AD13" s="480">
        <f>H13*Parameters!$G$40</f>
        <v>0</v>
      </c>
      <c r="AE13" s="480">
        <f>I13*Parameters!$G$40</f>
        <v>0</v>
      </c>
      <c r="AG13" s="478">
        <f>L13*Parameters!$G$40</f>
        <v>148.96</v>
      </c>
      <c r="AH13" s="478">
        <f>M13*1000*Parameters!$G$40</f>
        <v>77420</v>
      </c>
    </row>
    <row r="14" spans="1:34" ht="18.75" x14ac:dyDescent="0.3">
      <c r="A14" s="566"/>
      <c r="B14" s="564"/>
      <c r="C14" s="569"/>
      <c r="D14" s="386"/>
      <c r="E14" s="386"/>
      <c r="F14" s="386"/>
      <c r="G14" s="386"/>
      <c r="H14" s="386"/>
      <c r="I14" s="386"/>
      <c r="J14" s="134" t="s">
        <v>50</v>
      </c>
      <c r="K14" s="153" t="s">
        <v>54</v>
      </c>
      <c r="L14" s="133">
        <v>131</v>
      </c>
      <c r="M14" s="148">
        <v>131</v>
      </c>
      <c r="N14" s="154"/>
      <c r="O14" s="132"/>
      <c r="P14" s="132"/>
      <c r="Q14" s="132"/>
      <c r="R14" s="143">
        <v>0</v>
      </c>
      <c r="S14" s="163">
        <v>0</v>
      </c>
      <c r="T14" s="135">
        <v>0</v>
      </c>
      <c r="U14" s="135">
        <v>0</v>
      </c>
      <c r="V14" s="135">
        <v>0</v>
      </c>
      <c r="W14" s="141">
        <v>0</v>
      </c>
      <c r="X14" s="160"/>
      <c r="Z14" s="480">
        <f>D14*Parameters!$G$40</f>
        <v>0</v>
      </c>
      <c r="AA14" s="480">
        <f>E14*Parameters!$G$40</f>
        <v>0</v>
      </c>
      <c r="AB14" s="480">
        <f>F14*Parameters!$G$40</f>
        <v>0</v>
      </c>
      <c r="AC14" s="480">
        <f>G14*Parameters!$G$40</f>
        <v>0</v>
      </c>
      <c r="AD14" s="480">
        <f>H14*Parameters!$G$40</f>
        <v>0</v>
      </c>
      <c r="AE14" s="480">
        <f>I14*Parameters!$G$40</f>
        <v>0</v>
      </c>
      <c r="AG14" s="478">
        <f>L14*Parameters!$G$40</f>
        <v>128.38</v>
      </c>
      <c r="AH14" s="478">
        <f>M14*1000*Parameters!$G$40</f>
        <v>128380</v>
      </c>
    </row>
    <row r="15" spans="1:34" ht="18.75" x14ac:dyDescent="0.3">
      <c r="A15" s="566"/>
      <c r="B15" s="564"/>
      <c r="C15" s="569" t="s">
        <v>56</v>
      </c>
      <c r="D15" s="386">
        <v>3288</v>
      </c>
      <c r="E15" s="386">
        <v>4465</v>
      </c>
      <c r="F15" s="386">
        <v>6290</v>
      </c>
      <c r="G15" s="386">
        <v>5000</v>
      </c>
      <c r="H15" s="386"/>
      <c r="I15" s="386">
        <v>19043</v>
      </c>
      <c r="J15" s="145" t="s">
        <v>48</v>
      </c>
      <c r="K15" s="145" t="s">
        <v>49</v>
      </c>
      <c r="L15" s="146">
        <v>5208</v>
      </c>
      <c r="M15" s="147">
        <v>4012</v>
      </c>
      <c r="N15" s="154"/>
      <c r="O15" s="132"/>
      <c r="P15" s="132"/>
      <c r="Q15" s="132"/>
      <c r="R15" s="143">
        <v>0</v>
      </c>
      <c r="S15" s="163">
        <v>0</v>
      </c>
      <c r="T15" s="135">
        <v>0</v>
      </c>
      <c r="U15" s="135">
        <v>0</v>
      </c>
      <c r="V15" s="135">
        <v>0</v>
      </c>
      <c r="W15" s="141">
        <v>0</v>
      </c>
      <c r="X15" s="160"/>
      <c r="Z15" s="480">
        <f>D15*Parameters!$G$40</f>
        <v>3222.24</v>
      </c>
      <c r="AA15" s="480">
        <f>E15*Parameters!$G$40</f>
        <v>4375.7</v>
      </c>
      <c r="AB15" s="480">
        <f>F15*Parameters!$G$40</f>
        <v>6164.2</v>
      </c>
      <c r="AC15" s="480">
        <f>G15*Parameters!$G$40</f>
        <v>4900</v>
      </c>
      <c r="AD15" s="480">
        <f>H15*Parameters!$G$40</f>
        <v>0</v>
      </c>
      <c r="AE15" s="480">
        <f>I15*Parameters!$G$40</f>
        <v>18662.14</v>
      </c>
      <c r="AG15" s="478">
        <f>L15*Parameters!$G$40</f>
        <v>5103.84</v>
      </c>
      <c r="AH15" s="478">
        <f>M15*1000*Parameters!$G$40</f>
        <v>3931760</v>
      </c>
    </row>
    <row r="16" spans="1:34" ht="30.75" x14ac:dyDescent="0.3">
      <c r="A16" s="566"/>
      <c r="B16" s="564"/>
      <c r="C16" s="569"/>
      <c r="D16" s="386"/>
      <c r="E16" s="386"/>
      <c r="F16" s="386"/>
      <c r="G16" s="386"/>
      <c r="H16" s="386"/>
      <c r="I16" s="386"/>
      <c r="J16" s="134" t="s">
        <v>50</v>
      </c>
      <c r="K16" s="153" t="s">
        <v>51</v>
      </c>
      <c r="L16" s="133">
        <v>6755</v>
      </c>
      <c r="M16" s="148">
        <v>4778</v>
      </c>
      <c r="N16" s="154"/>
      <c r="O16" s="132"/>
      <c r="P16" s="132"/>
      <c r="Q16" s="132"/>
      <c r="R16" s="143">
        <v>0</v>
      </c>
      <c r="S16" s="163">
        <v>0</v>
      </c>
      <c r="T16" s="135">
        <v>0</v>
      </c>
      <c r="U16" s="135">
        <v>0</v>
      </c>
      <c r="V16" s="135">
        <v>0</v>
      </c>
      <c r="W16" s="141">
        <v>0</v>
      </c>
      <c r="X16" s="160"/>
      <c r="Z16" s="479"/>
      <c r="AA16" s="479"/>
      <c r="AB16" s="479"/>
      <c r="AC16" s="479"/>
      <c r="AD16" s="479"/>
      <c r="AE16" s="479"/>
      <c r="AG16" s="478">
        <f>L16*Parameters!$G$40</f>
        <v>6619.9</v>
      </c>
      <c r="AH16" s="478">
        <f>M16*1000*Parameters!$G$40</f>
        <v>4682440</v>
      </c>
    </row>
    <row r="17" spans="1:34" ht="18.75" x14ac:dyDescent="0.3">
      <c r="A17" s="566"/>
      <c r="B17" s="564"/>
      <c r="C17" s="569"/>
      <c r="D17" s="386"/>
      <c r="E17" s="386"/>
      <c r="F17" s="386"/>
      <c r="G17" s="386"/>
      <c r="H17" s="386"/>
      <c r="I17" s="386"/>
      <c r="J17" s="134" t="s">
        <v>50</v>
      </c>
      <c r="K17" s="153" t="s">
        <v>52</v>
      </c>
      <c r="L17" s="133">
        <v>579</v>
      </c>
      <c r="M17" s="148">
        <v>464</v>
      </c>
      <c r="N17" s="154"/>
      <c r="O17" s="132"/>
      <c r="P17" s="132"/>
      <c r="Q17" s="132"/>
      <c r="R17" s="143">
        <v>0</v>
      </c>
      <c r="S17" s="163">
        <v>0</v>
      </c>
      <c r="T17" s="135">
        <v>0</v>
      </c>
      <c r="U17" s="135">
        <v>0</v>
      </c>
      <c r="V17" s="135">
        <v>0</v>
      </c>
      <c r="W17" s="141">
        <v>0</v>
      </c>
      <c r="X17" s="160"/>
      <c r="Z17" s="479"/>
      <c r="AA17" s="479"/>
      <c r="AB17" s="479"/>
      <c r="AC17" s="479"/>
      <c r="AD17" s="479"/>
      <c r="AE17" s="479"/>
      <c r="AG17" s="478">
        <f>L17*Parameters!$G$40</f>
        <v>567.41999999999996</v>
      </c>
      <c r="AH17" s="478">
        <f>M17*1000*Parameters!$G$40</f>
        <v>454720</v>
      </c>
    </row>
    <row r="18" spans="1:34" ht="19.5" thickBot="1" x14ac:dyDescent="0.35">
      <c r="A18" s="567"/>
      <c r="B18" s="564"/>
      <c r="C18" s="570"/>
      <c r="D18" s="387"/>
      <c r="E18" s="387"/>
      <c r="F18" s="387"/>
      <c r="G18" s="387"/>
      <c r="H18" s="387"/>
      <c r="I18" s="387"/>
      <c r="J18" s="152" t="s">
        <v>57</v>
      </c>
      <c r="K18" s="152" t="s">
        <v>58</v>
      </c>
      <c r="L18" s="149">
        <v>6500</v>
      </c>
      <c r="M18" s="162">
        <v>0</v>
      </c>
      <c r="N18" s="155"/>
      <c r="O18" s="137">
        <v>1500</v>
      </c>
      <c r="P18" s="137">
        <v>5000</v>
      </c>
      <c r="Q18" s="139"/>
      <c r="R18" s="144">
        <v>6500</v>
      </c>
      <c r="S18" s="164">
        <v>0</v>
      </c>
      <c r="T18" s="138">
        <v>1620</v>
      </c>
      <c r="U18" s="138">
        <v>5670</v>
      </c>
      <c r="V18" s="138">
        <v>0</v>
      </c>
      <c r="W18" s="142">
        <v>7290</v>
      </c>
      <c r="X18" s="161">
        <v>25117</v>
      </c>
      <c r="Z18" s="479"/>
      <c r="AA18" s="479"/>
      <c r="AB18" s="479"/>
      <c r="AC18" s="479"/>
      <c r="AD18" s="479"/>
      <c r="AE18" s="479"/>
      <c r="AG18" s="478">
        <f>L18*Parameters!$G$40</f>
        <v>6370</v>
      </c>
      <c r="AH18" s="478">
        <f>M18*1000*Parameters!$G$40</f>
        <v>0</v>
      </c>
    </row>
    <row r="19" spans="1:34" x14ac:dyDescent="0.25">
      <c r="D19" s="478">
        <f>SUM(D4:D15)</f>
        <v>6575</v>
      </c>
      <c r="E19" s="478">
        <f t="shared" ref="E19:G19" si="0">SUM(E4:E15)</f>
        <v>5955</v>
      </c>
      <c r="F19" s="478">
        <f t="shared" si="0"/>
        <v>6798</v>
      </c>
      <c r="G19" s="478">
        <f t="shared" si="0"/>
        <v>5000</v>
      </c>
      <c r="I19" s="478">
        <f>SUM(I4:I15)</f>
        <v>24328</v>
      </c>
      <c r="L19" s="478">
        <f>SUM(L4:L18)</f>
        <v>24327</v>
      </c>
      <c r="Z19" s="480">
        <f>SUM(Z4:Z15)</f>
        <v>6443.5</v>
      </c>
      <c r="AA19" s="480">
        <f t="shared" ref="AA19:AE19" si="1">SUM(AA4:AA15)</f>
        <v>5835.9</v>
      </c>
      <c r="AB19" s="480">
        <f t="shared" si="1"/>
        <v>6662.04</v>
      </c>
      <c r="AC19" s="480">
        <f t="shared" si="1"/>
        <v>4900</v>
      </c>
      <c r="AD19" s="480">
        <f t="shared" si="1"/>
        <v>0</v>
      </c>
      <c r="AE19" s="480">
        <f t="shared" si="1"/>
        <v>23841.439999999999</v>
      </c>
      <c r="AG19" s="478">
        <f>SUM(AG4:AG18)</f>
        <v>23840.46</v>
      </c>
    </row>
    <row r="20" spans="1:34" x14ac:dyDescent="0.25">
      <c r="Z20" s="479"/>
    </row>
  </sheetData>
  <mergeCells count="13">
    <mergeCell ref="S1:W1"/>
    <mergeCell ref="J1:L1"/>
    <mergeCell ref="B4:B18"/>
    <mergeCell ref="A4:A18"/>
    <mergeCell ref="C4:C6"/>
    <mergeCell ref="C7:C10"/>
    <mergeCell ref="C15:C18"/>
    <mergeCell ref="C11:C14"/>
    <mergeCell ref="E1:I1"/>
    <mergeCell ref="N2:R2"/>
    <mergeCell ref="J3:K3"/>
    <mergeCell ref="J2:M2"/>
    <mergeCell ref="N1:R1"/>
  </mergeCells>
  <pageMargins left="0.7" right="0.7" top="0.75" bottom="0.75" header="0.3" footer="0.3"/>
  <pageSetup orientation="portrait" r:id="rId1"/>
  <headerFooter>
    <oddHeader>&amp;CI-680 MOD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3554C-E52C-4267-9A48-866C8AE6CD69}">
  <sheetPr>
    <tabColor theme="8" tint="0.79998168889431442"/>
  </sheetPr>
  <dimension ref="A1:H64"/>
  <sheetViews>
    <sheetView zoomScaleNormal="100" workbookViewId="0">
      <pane xSplit="1" ySplit="3" topLeftCell="B4" activePane="bottomRight" state="frozen"/>
      <selection pane="topRight" activeCell="B1" sqref="B1"/>
      <selection pane="bottomLeft" activeCell="A3" sqref="A3"/>
      <selection pane="bottomRight" activeCell="F3" sqref="F3"/>
    </sheetView>
  </sheetViews>
  <sheetFormatPr defaultColWidth="9.140625" defaultRowHeight="14.25" x14ac:dyDescent="0.25"/>
  <cols>
    <col min="1" max="1" width="32.7109375" style="215" customWidth="1"/>
    <col min="2" max="4" width="9.85546875" style="215" bestFit="1" customWidth="1"/>
    <col min="5" max="6" width="9.140625" style="215"/>
    <col min="7" max="7" width="102" style="215" customWidth="1"/>
    <col min="8" max="10" width="9.140625" style="215"/>
    <col min="11" max="11" width="9.140625" style="215" customWidth="1"/>
    <col min="12" max="16384" width="9.140625" style="215"/>
  </cols>
  <sheetData>
    <row r="1" spans="1:7" ht="15" thickBot="1" x14ac:dyDescent="0.3">
      <c r="F1" s="278" t="s">
        <v>386</v>
      </c>
    </row>
    <row r="2" spans="1:7" x14ac:dyDescent="0.25">
      <c r="A2" s="214"/>
      <c r="B2" s="583" t="s">
        <v>352</v>
      </c>
      <c r="C2" s="583"/>
      <c r="D2" s="584"/>
      <c r="F2" s="279">
        <v>0.03</v>
      </c>
      <c r="G2" s="348" t="s">
        <v>408</v>
      </c>
    </row>
    <row r="3" spans="1:7" ht="15" thickBot="1" x14ac:dyDescent="0.3">
      <c r="A3" s="216"/>
      <c r="B3" s="217">
        <v>2018</v>
      </c>
      <c r="C3" s="217">
        <v>2023</v>
      </c>
      <c r="D3" s="218">
        <v>2040</v>
      </c>
      <c r="G3" s="348" t="s">
        <v>410</v>
      </c>
    </row>
    <row r="4" spans="1:7" ht="15" thickBot="1" x14ac:dyDescent="0.3">
      <c r="A4" s="219" t="s">
        <v>353</v>
      </c>
      <c r="B4" s="220"/>
      <c r="C4" s="221"/>
      <c r="D4" s="222"/>
    </row>
    <row r="5" spans="1:7" x14ac:dyDescent="0.25">
      <c r="A5" s="223" t="s">
        <v>354</v>
      </c>
      <c r="B5" s="224">
        <v>2670000</v>
      </c>
      <c r="C5" s="225">
        <v>2816000</v>
      </c>
      <c r="D5" s="226">
        <v>3281000</v>
      </c>
      <c r="F5" s="279"/>
    </row>
    <row r="6" spans="1:7" x14ac:dyDescent="0.25">
      <c r="A6" s="280" t="s">
        <v>379</v>
      </c>
      <c r="B6" s="228">
        <v>945000</v>
      </c>
      <c r="C6" s="229">
        <v>958000</v>
      </c>
      <c r="D6" s="230">
        <v>1080000</v>
      </c>
      <c r="F6" s="279"/>
    </row>
    <row r="7" spans="1:7" ht="15" thickBot="1" x14ac:dyDescent="0.3">
      <c r="A7" s="231" t="s">
        <v>13</v>
      </c>
      <c r="B7" s="232">
        <v>3615000</v>
      </c>
      <c r="C7" s="233">
        <v>3774000</v>
      </c>
      <c r="D7" s="234">
        <v>4361000</v>
      </c>
    </row>
    <row r="8" spans="1:7" ht="15" hidden="1" thickBot="1" x14ac:dyDescent="0.3">
      <c r="A8" s="219" t="s">
        <v>356</v>
      </c>
      <c r="B8" s="220"/>
      <c r="C8" s="221"/>
      <c r="D8" s="222"/>
    </row>
    <row r="9" spans="1:7" ht="15" hidden="1" thickBot="1" x14ac:dyDescent="0.3">
      <c r="A9" s="235" t="s">
        <v>354</v>
      </c>
      <c r="B9" s="236"/>
      <c r="C9" s="237"/>
      <c r="D9" s="238"/>
    </row>
    <row r="10" spans="1:7" hidden="1" x14ac:dyDescent="0.25">
      <c r="A10" s="223" t="s">
        <v>357</v>
      </c>
      <c r="B10" s="224">
        <v>149400</v>
      </c>
      <c r="C10" s="225">
        <v>154300</v>
      </c>
      <c r="D10" s="226">
        <v>177000</v>
      </c>
      <c r="F10" s="279"/>
    </row>
    <row r="11" spans="1:7" hidden="1" x14ac:dyDescent="0.25">
      <c r="A11" s="239" t="s">
        <v>358</v>
      </c>
      <c r="B11" s="240">
        <v>197400</v>
      </c>
      <c r="C11" s="241">
        <v>204800</v>
      </c>
      <c r="D11" s="242">
        <v>234000</v>
      </c>
      <c r="F11" s="279"/>
    </row>
    <row r="12" spans="1:7" hidden="1" x14ac:dyDescent="0.25">
      <c r="A12" s="239" t="s">
        <v>359</v>
      </c>
      <c r="B12" s="240">
        <v>480000</v>
      </c>
      <c r="C12" s="241">
        <v>500600</v>
      </c>
      <c r="D12" s="242">
        <v>562900</v>
      </c>
      <c r="F12" s="279"/>
    </row>
    <row r="13" spans="1:7" hidden="1" x14ac:dyDescent="0.25">
      <c r="A13" s="239" t="s">
        <v>360</v>
      </c>
      <c r="B13" s="240">
        <v>940400</v>
      </c>
      <c r="C13" s="241">
        <v>990600</v>
      </c>
      <c r="D13" s="242">
        <v>1154500</v>
      </c>
      <c r="F13" s="279"/>
    </row>
    <row r="14" spans="1:7" hidden="1" x14ac:dyDescent="0.25">
      <c r="A14" s="239" t="s">
        <v>361</v>
      </c>
      <c r="B14" s="240">
        <v>574700</v>
      </c>
      <c r="C14" s="241">
        <v>620600</v>
      </c>
      <c r="D14" s="242">
        <v>743100</v>
      </c>
      <c r="F14" s="279"/>
      <c r="G14" s="277"/>
    </row>
    <row r="15" spans="1:7" hidden="1" x14ac:dyDescent="0.25">
      <c r="A15" s="239" t="s">
        <v>362</v>
      </c>
      <c r="B15" s="240">
        <v>243600</v>
      </c>
      <c r="C15" s="241">
        <v>257100</v>
      </c>
      <c r="D15" s="242">
        <v>301900</v>
      </c>
      <c r="F15" s="279"/>
    </row>
    <row r="16" spans="1:7" hidden="1" x14ac:dyDescent="0.25">
      <c r="A16" s="227" t="s">
        <v>363</v>
      </c>
      <c r="B16" s="228">
        <v>84500</v>
      </c>
      <c r="C16" s="229">
        <v>88000</v>
      </c>
      <c r="D16" s="230">
        <v>107600</v>
      </c>
      <c r="F16" s="279"/>
    </row>
    <row r="17" spans="1:6" ht="15" hidden="1" thickBot="1" x14ac:dyDescent="0.3">
      <c r="A17" s="231" t="s">
        <v>13</v>
      </c>
      <c r="B17" s="232">
        <v>2670000</v>
      </c>
      <c r="C17" s="233">
        <v>2816000</v>
      </c>
      <c r="D17" s="234">
        <v>3281000</v>
      </c>
    </row>
    <row r="18" spans="1:6" ht="15" hidden="1" thickBot="1" x14ac:dyDescent="0.3">
      <c r="A18" s="268" t="s">
        <v>379</v>
      </c>
      <c r="B18" s="236"/>
      <c r="C18" s="237"/>
      <c r="D18" s="238"/>
    </row>
    <row r="19" spans="1:6" hidden="1" x14ac:dyDescent="0.25">
      <c r="A19" s="223" t="s">
        <v>357</v>
      </c>
      <c r="B19" s="269">
        <v>100</v>
      </c>
      <c r="C19" s="270">
        <v>100</v>
      </c>
      <c r="D19" s="271">
        <v>100</v>
      </c>
      <c r="F19" s="279"/>
    </row>
    <row r="20" spans="1:6" hidden="1" x14ac:dyDescent="0.25">
      <c r="A20" s="239" t="s">
        <v>358</v>
      </c>
      <c r="B20" s="275">
        <v>100</v>
      </c>
      <c r="C20" s="275">
        <v>100</v>
      </c>
      <c r="D20" s="275">
        <v>100</v>
      </c>
      <c r="F20" s="279"/>
    </row>
    <row r="21" spans="1:6" hidden="1" x14ac:dyDescent="0.25">
      <c r="A21" s="239" t="s">
        <v>359</v>
      </c>
      <c r="B21" s="275">
        <v>2223.91</v>
      </c>
      <c r="C21" s="275">
        <v>2096.1999999999998</v>
      </c>
      <c r="D21" s="275">
        <v>2216.04</v>
      </c>
      <c r="F21" s="279"/>
    </row>
    <row r="22" spans="1:6" hidden="1" x14ac:dyDescent="0.25">
      <c r="A22" s="239" t="s">
        <v>360</v>
      </c>
      <c r="B22" s="275">
        <v>20503.419999999998</v>
      </c>
      <c r="C22" s="275">
        <v>19528.8</v>
      </c>
      <c r="D22" s="275">
        <v>20396.599999999999</v>
      </c>
      <c r="F22" s="279"/>
    </row>
    <row r="23" spans="1:6" hidden="1" x14ac:dyDescent="0.25">
      <c r="A23" s="239" t="s">
        <v>361</v>
      </c>
      <c r="B23" s="275">
        <v>62277.02</v>
      </c>
      <c r="C23" s="275">
        <v>61209.42</v>
      </c>
      <c r="D23" s="275">
        <v>69029.490000000005</v>
      </c>
      <c r="F23" s="279"/>
    </row>
    <row r="24" spans="1:6" hidden="1" x14ac:dyDescent="0.25">
      <c r="A24" s="239" t="s">
        <v>362</v>
      </c>
      <c r="B24" s="275">
        <v>165632.07</v>
      </c>
      <c r="C24" s="275">
        <v>163338.95000000001</v>
      </c>
      <c r="D24" s="275">
        <v>172829.6</v>
      </c>
      <c r="F24" s="279"/>
    </row>
    <row r="25" spans="1:6" hidden="1" x14ac:dyDescent="0.25">
      <c r="A25" s="227" t="s">
        <v>363</v>
      </c>
      <c r="B25" s="275">
        <v>388940.54</v>
      </c>
      <c r="C25" s="275">
        <v>372378.35</v>
      </c>
      <c r="D25" s="275">
        <v>393671.08</v>
      </c>
      <c r="F25" s="279"/>
    </row>
    <row r="26" spans="1:6" ht="15" hidden="1" thickBot="1" x14ac:dyDescent="0.3">
      <c r="A26" s="231" t="s">
        <v>13</v>
      </c>
      <c r="B26" s="272">
        <v>945000</v>
      </c>
      <c r="C26" s="273">
        <v>958000</v>
      </c>
      <c r="D26" s="274">
        <v>1080000</v>
      </c>
    </row>
    <row r="27" spans="1:6" ht="15" hidden="1" thickBot="1" x14ac:dyDescent="0.3">
      <c r="A27" s="235" t="s">
        <v>364</v>
      </c>
      <c r="B27" s="236"/>
      <c r="C27" s="237"/>
      <c r="D27" s="238"/>
    </row>
    <row r="28" spans="1:6" hidden="1" x14ac:dyDescent="0.25">
      <c r="A28" s="223" t="s">
        <v>357</v>
      </c>
      <c r="B28" s="224">
        <v>149500</v>
      </c>
      <c r="C28" s="225">
        <v>154400</v>
      </c>
      <c r="D28" s="226">
        <v>177100</v>
      </c>
      <c r="F28" s="279"/>
    </row>
    <row r="29" spans="1:6" hidden="1" x14ac:dyDescent="0.25">
      <c r="A29" s="239" t="s">
        <v>358</v>
      </c>
      <c r="B29" s="240">
        <v>197500</v>
      </c>
      <c r="C29" s="241">
        <v>204900</v>
      </c>
      <c r="D29" s="242">
        <v>234100</v>
      </c>
      <c r="F29" s="279"/>
    </row>
    <row r="30" spans="1:6" hidden="1" x14ac:dyDescent="0.25">
      <c r="A30" s="239" t="s">
        <v>359</v>
      </c>
      <c r="B30" s="240">
        <v>482223.91</v>
      </c>
      <c r="C30" s="241">
        <v>502696.2</v>
      </c>
      <c r="D30" s="242">
        <v>565116.04</v>
      </c>
      <c r="F30" s="279"/>
    </row>
    <row r="31" spans="1:6" hidden="1" x14ac:dyDescent="0.25">
      <c r="A31" s="239" t="s">
        <v>360</v>
      </c>
      <c r="B31" s="240">
        <v>960903.42</v>
      </c>
      <c r="C31" s="241">
        <v>1010128.8</v>
      </c>
      <c r="D31" s="242">
        <v>1174896.6000000001</v>
      </c>
      <c r="F31" s="279"/>
    </row>
    <row r="32" spans="1:6" hidden="1" x14ac:dyDescent="0.25">
      <c r="A32" s="239" t="s">
        <v>361</v>
      </c>
      <c r="B32" s="240">
        <v>636977.02</v>
      </c>
      <c r="C32" s="241">
        <v>681809.42</v>
      </c>
      <c r="D32" s="242">
        <v>812129.49</v>
      </c>
      <c r="F32" s="279"/>
    </row>
    <row r="33" spans="1:8" hidden="1" x14ac:dyDescent="0.25">
      <c r="A33" s="239" t="s">
        <v>362</v>
      </c>
      <c r="B33" s="240">
        <v>409232.07</v>
      </c>
      <c r="C33" s="241">
        <v>420438.95</v>
      </c>
      <c r="D33" s="242">
        <v>474729.6</v>
      </c>
      <c r="F33" s="279"/>
    </row>
    <row r="34" spans="1:8" hidden="1" x14ac:dyDescent="0.25">
      <c r="A34" s="227" t="s">
        <v>363</v>
      </c>
      <c r="B34" s="228">
        <v>473440.54</v>
      </c>
      <c r="C34" s="229">
        <v>460378.35</v>
      </c>
      <c r="D34" s="230">
        <v>501271.08</v>
      </c>
      <c r="F34" s="279"/>
    </row>
    <row r="35" spans="1:8" ht="15" hidden="1" thickBot="1" x14ac:dyDescent="0.3">
      <c r="A35" s="231" t="s">
        <v>13</v>
      </c>
      <c r="B35" s="232">
        <v>3615000</v>
      </c>
      <c r="C35" s="233">
        <v>3774000</v>
      </c>
      <c r="D35" s="234">
        <v>4361000</v>
      </c>
    </row>
    <row r="36" spans="1:8" ht="15" thickBot="1" x14ac:dyDescent="0.3">
      <c r="A36" s="219" t="s">
        <v>365</v>
      </c>
      <c r="B36" s="220"/>
      <c r="C36" s="221"/>
      <c r="D36" s="222"/>
      <c r="G36" s="278" t="s">
        <v>387</v>
      </c>
      <c r="H36" s="348" t="s">
        <v>394</v>
      </c>
    </row>
    <row r="37" spans="1:8" ht="15" thickBot="1" x14ac:dyDescent="0.3">
      <c r="A37" s="235" t="s">
        <v>354</v>
      </c>
      <c r="B37" s="236"/>
      <c r="C37" s="237"/>
      <c r="D37" s="238"/>
      <c r="G37" s="296" t="s">
        <v>389</v>
      </c>
    </row>
    <row r="38" spans="1:8" x14ac:dyDescent="0.25">
      <c r="A38" s="223" t="s">
        <v>23</v>
      </c>
      <c r="B38" s="224">
        <v>2485000</v>
      </c>
      <c r="C38" s="225">
        <v>2620000</v>
      </c>
      <c r="D38" s="226">
        <v>3046000</v>
      </c>
      <c r="F38" s="279"/>
      <c r="G38" s="277"/>
    </row>
    <row r="39" spans="1:8" x14ac:dyDescent="0.25">
      <c r="A39" s="239" t="s">
        <v>366</v>
      </c>
      <c r="B39" s="240">
        <v>13000</v>
      </c>
      <c r="C39" s="241">
        <v>16000</v>
      </c>
      <c r="D39" s="242">
        <v>25000</v>
      </c>
      <c r="F39" s="279"/>
      <c r="G39" s="296"/>
    </row>
    <row r="40" spans="1:8" x14ac:dyDescent="0.25">
      <c r="A40" s="239" t="s">
        <v>367</v>
      </c>
      <c r="B40" s="240">
        <v>15000</v>
      </c>
      <c r="C40" s="241">
        <v>16000</v>
      </c>
      <c r="D40" s="242">
        <v>19000</v>
      </c>
      <c r="F40" s="279">
        <v>0.25</v>
      </c>
      <c r="G40" s="348" t="s">
        <v>418</v>
      </c>
    </row>
    <row r="41" spans="1:8" x14ac:dyDescent="0.25">
      <c r="A41" s="227" t="s">
        <v>368</v>
      </c>
      <c r="B41" s="228">
        <v>157000</v>
      </c>
      <c r="C41" s="229">
        <v>164000</v>
      </c>
      <c r="D41" s="230">
        <v>191000</v>
      </c>
      <c r="F41" s="279">
        <v>0.25</v>
      </c>
      <c r="G41" s="348" t="s">
        <v>419</v>
      </c>
    </row>
    <row r="42" spans="1:8" ht="15" thickBot="1" x14ac:dyDescent="0.3">
      <c r="A42" s="231" t="s">
        <v>13</v>
      </c>
      <c r="B42" s="232">
        <v>2670000</v>
      </c>
      <c r="C42" s="233">
        <v>2816000</v>
      </c>
      <c r="D42" s="234">
        <v>3281000</v>
      </c>
      <c r="F42" s="279"/>
    </row>
    <row r="43" spans="1:8" ht="15" thickBot="1" x14ac:dyDescent="0.3">
      <c r="A43" s="235" t="s">
        <v>379</v>
      </c>
      <c r="B43" s="236"/>
      <c r="C43" s="237"/>
      <c r="D43" s="238"/>
    </row>
    <row r="44" spans="1:8" x14ac:dyDescent="0.25">
      <c r="A44" s="223" t="s">
        <v>23</v>
      </c>
      <c r="B44" s="224">
        <v>823000</v>
      </c>
      <c r="C44" s="225">
        <v>830000</v>
      </c>
      <c r="D44" s="226">
        <v>932000</v>
      </c>
      <c r="F44" s="279"/>
    </row>
    <row r="45" spans="1:8" x14ac:dyDescent="0.25">
      <c r="A45" s="239" t="s">
        <v>366</v>
      </c>
      <c r="B45" s="240">
        <v>117000</v>
      </c>
      <c r="C45" s="241">
        <v>123000</v>
      </c>
      <c r="D45" s="242">
        <v>142000</v>
      </c>
      <c r="F45" s="279">
        <v>0.5</v>
      </c>
      <c r="G45" s="348" t="s">
        <v>417</v>
      </c>
    </row>
    <row r="46" spans="1:8" x14ac:dyDescent="0.25">
      <c r="A46" s="239" t="s">
        <v>367</v>
      </c>
      <c r="B46" s="240">
        <v>2000</v>
      </c>
      <c r="C46" s="241">
        <v>2000</v>
      </c>
      <c r="D46" s="242">
        <v>3000</v>
      </c>
      <c r="F46" s="279"/>
    </row>
    <row r="47" spans="1:8" x14ac:dyDescent="0.25">
      <c r="A47" s="227" t="s">
        <v>368</v>
      </c>
      <c r="B47" s="228">
        <v>3000</v>
      </c>
      <c r="C47" s="229">
        <v>3000</v>
      </c>
      <c r="D47" s="230">
        <v>3000</v>
      </c>
      <c r="F47" s="279"/>
    </row>
    <row r="48" spans="1:8" ht="15" thickBot="1" x14ac:dyDescent="0.3">
      <c r="A48" s="231" t="s">
        <v>13</v>
      </c>
      <c r="B48" s="232">
        <v>945000</v>
      </c>
      <c r="C48" s="233">
        <v>958000</v>
      </c>
      <c r="D48" s="234">
        <v>1080000</v>
      </c>
      <c r="F48" s="279"/>
    </row>
    <row r="49" spans="1:8" ht="15" thickBot="1" x14ac:dyDescent="0.3">
      <c r="A49" s="235" t="s">
        <v>364</v>
      </c>
      <c r="B49" s="236"/>
      <c r="C49" s="237"/>
      <c r="D49" s="238"/>
    </row>
    <row r="50" spans="1:8" x14ac:dyDescent="0.25">
      <c r="A50" s="223" t="s">
        <v>23</v>
      </c>
      <c r="B50" s="224">
        <v>3308000</v>
      </c>
      <c r="C50" s="225">
        <v>3450000</v>
      </c>
      <c r="D50" s="226">
        <v>3978000</v>
      </c>
      <c r="F50" s="215">
        <v>0.95</v>
      </c>
      <c r="G50" s="348" t="s">
        <v>416</v>
      </c>
    </row>
    <row r="51" spans="1:8" x14ac:dyDescent="0.25">
      <c r="A51" s="239" t="s">
        <v>366</v>
      </c>
      <c r="B51" s="240">
        <v>130000</v>
      </c>
      <c r="C51" s="241">
        <v>139000</v>
      </c>
      <c r="D51" s="242">
        <v>167000</v>
      </c>
    </row>
    <row r="52" spans="1:8" x14ac:dyDescent="0.25">
      <c r="A52" s="239" t="s">
        <v>367</v>
      </c>
      <c r="B52" s="240">
        <v>17000</v>
      </c>
      <c r="C52" s="241">
        <v>18000</v>
      </c>
      <c r="D52" s="242">
        <v>22000</v>
      </c>
    </row>
    <row r="53" spans="1:8" x14ac:dyDescent="0.25">
      <c r="A53" s="227" t="s">
        <v>368</v>
      </c>
      <c r="B53" s="228">
        <v>160000</v>
      </c>
      <c r="C53" s="229">
        <v>167000</v>
      </c>
      <c r="D53" s="230">
        <v>194000</v>
      </c>
    </row>
    <row r="54" spans="1:8" ht="15" thickBot="1" x14ac:dyDescent="0.3">
      <c r="A54" s="231" t="s">
        <v>13</v>
      </c>
      <c r="B54" s="232">
        <v>3615000</v>
      </c>
      <c r="C54" s="233">
        <v>3774000</v>
      </c>
      <c r="D54" s="234">
        <v>4361000</v>
      </c>
    </row>
    <row r="55" spans="1:8" ht="15" thickBot="1" x14ac:dyDescent="0.3">
      <c r="A55" s="219" t="s">
        <v>369</v>
      </c>
      <c r="B55" s="220"/>
      <c r="C55" s="221"/>
      <c r="D55" s="222"/>
    </row>
    <row r="56" spans="1:8" x14ac:dyDescent="0.25">
      <c r="A56" s="223" t="s">
        <v>354</v>
      </c>
      <c r="B56" s="224">
        <v>1983000</v>
      </c>
      <c r="C56" s="225">
        <v>2089000</v>
      </c>
      <c r="D56" s="226">
        <v>2404000</v>
      </c>
      <c r="F56" s="279"/>
    </row>
    <row r="57" spans="1:8" x14ac:dyDescent="0.25">
      <c r="A57" s="227" t="s">
        <v>355</v>
      </c>
      <c r="B57" s="228">
        <v>664000</v>
      </c>
      <c r="C57" s="229">
        <v>666000</v>
      </c>
      <c r="D57" s="230">
        <v>739000</v>
      </c>
      <c r="F57" s="279"/>
    </row>
    <row r="58" spans="1:8" ht="15" thickBot="1" x14ac:dyDescent="0.3">
      <c r="A58" s="231" t="s">
        <v>13</v>
      </c>
      <c r="B58" s="232">
        <v>2647000</v>
      </c>
      <c r="C58" s="233">
        <v>2755000</v>
      </c>
      <c r="D58" s="234">
        <v>3143000</v>
      </c>
    </row>
    <row r="59" spans="1:8" ht="15.75" thickBot="1" x14ac:dyDescent="0.3">
      <c r="A59" s="219" t="s">
        <v>370</v>
      </c>
      <c r="B59" s="220"/>
      <c r="C59" s="221"/>
      <c r="D59" s="222"/>
      <c r="G59" s="277" t="s">
        <v>388</v>
      </c>
      <c r="H59" s="264" t="s">
        <v>381</v>
      </c>
    </row>
    <row r="60" spans="1:8" x14ac:dyDescent="0.25">
      <c r="A60" s="223" t="s">
        <v>354</v>
      </c>
      <c r="B60" s="224">
        <v>11415000</v>
      </c>
      <c r="C60" s="225">
        <v>12036000</v>
      </c>
      <c r="D60" s="226">
        <v>14008000</v>
      </c>
      <c r="F60" s="279"/>
    </row>
    <row r="61" spans="1:8" x14ac:dyDescent="0.25">
      <c r="A61" s="227" t="s">
        <v>379</v>
      </c>
      <c r="B61" s="228">
        <v>11204418</v>
      </c>
      <c r="C61" s="229">
        <v>10982459</v>
      </c>
      <c r="D61" s="230">
        <v>12419299</v>
      </c>
      <c r="F61" s="279">
        <v>0.95</v>
      </c>
    </row>
    <row r="62" spans="1:8" ht="15" thickBot="1" x14ac:dyDescent="0.3">
      <c r="A62" s="231" t="s">
        <v>13</v>
      </c>
      <c r="B62" s="232">
        <v>22619418</v>
      </c>
      <c r="C62" s="233">
        <v>23018459</v>
      </c>
      <c r="D62" s="234">
        <v>26427299</v>
      </c>
    </row>
    <row r="63" spans="1:8" x14ac:dyDescent="0.25">
      <c r="B63" s="243"/>
      <c r="C63" s="243"/>
      <c r="D63" s="243"/>
    </row>
    <row r="64" spans="1:8" x14ac:dyDescent="0.25">
      <c r="B64" s="243"/>
      <c r="C64" s="243"/>
      <c r="D64" s="243"/>
    </row>
  </sheetData>
  <mergeCells count="1">
    <mergeCell ref="B2:D2"/>
  </mergeCells>
  <hyperlinks>
    <hyperlink ref="H59" r:id="rId1" location="article_main" xr:uid="{56FF8653-F0BB-4078-8EDF-9AD3A9BF6223}"/>
  </hyperlinks>
  <pageMargins left="0.7" right="0.7" top="0.75" bottom="0.75" header="0.3" footer="0.3"/>
  <pageSetup orientation="portrait" r:id="rId2"/>
  <headerFooter>
    <oddHeader>&amp;CI-680 MOD</oddHeader>
  </headerFooter>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F0EF7-4261-46E0-968D-D9D58B8FC3BC}">
  <sheetPr>
    <tabColor theme="9" tint="0.59999389629810485"/>
  </sheetPr>
  <dimension ref="A1:J250"/>
  <sheetViews>
    <sheetView workbookViewId="0">
      <selection activeCell="B9" sqref="B9"/>
    </sheetView>
  </sheetViews>
  <sheetFormatPr defaultRowHeight="15" x14ac:dyDescent="0.25"/>
  <cols>
    <col min="1" max="1" width="78.85546875" bestFit="1" customWidth="1"/>
    <col min="2" max="2" width="16.42578125" bestFit="1" customWidth="1"/>
    <col min="3" max="3" width="24.42578125" bestFit="1" customWidth="1"/>
    <col min="4" max="4" width="255.7109375" bestFit="1" customWidth="1"/>
    <col min="5" max="5" width="45.42578125" bestFit="1" customWidth="1"/>
  </cols>
  <sheetData>
    <row r="1" spans="1:10" x14ac:dyDescent="0.25">
      <c r="A1" s="181" t="s">
        <v>83</v>
      </c>
      <c r="B1" s="177"/>
      <c r="C1" s="177"/>
      <c r="D1" s="177"/>
      <c r="E1" s="177" t="s">
        <v>84</v>
      </c>
      <c r="F1" s="177"/>
      <c r="G1" s="177"/>
      <c r="H1" s="177"/>
      <c r="I1" s="177"/>
      <c r="J1" s="177"/>
    </row>
    <row r="2" spans="1:10" x14ac:dyDescent="0.25">
      <c r="A2" s="178" t="s">
        <v>85</v>
      </c>
      <c r="B2" s="178" t="s">
        <v>24</v>
      </c>
      <c r="C2" s="178" t="s">
        <v>86</v>
      </c>
      <c r="D2" s="178" t="s">
        <v>87</v>
      </c>
      <c r="E2" s="178" t="s">
        <v>19</v>
      </c>
      <c r="F2" s="177"/>
      <c r="G2" s="177"/>
      <c r="H2" s="177"/>
      <c r="I2" s="177"/>
      <c r="J2" s="177"/>
    </row>
    <row r="3" spans="1:10" x14ac:dyDescent="0.25">
      <c r="A3" s="177" t="s">
        <v>88</v>
      </c>
      <c r="B3" s="177">
        <v>2020</v>
      </c>
      <c r="C3" s="177"/>
      <c r="D3" s="177" t="s">
        <v>89</v>
      </c>
      <c r="E3" s="3" t="s">
        <v>90</v>
      </c>
      <c r="F3" s="177"/>
      <c r="G3" s="177"/>
      <c r="H3" s="177"/>
      <c r="I3" s="177"/>
      <c r="J3" s="177"/>
    </row>
    <row r="4" spans="1:10" x14ac:dyDescent="0.25">
      <c r="A4" s="177" t="s">
        <v>91</v>
      </c>
      <c r="B4" s="182">
        <v>7.0000000000000007E-2</v>
      </c>
      <c r="C4" s="177"/>
      <c r="D4" s="177" t="s">
        <v>92</v>
      </c>
      <c r="E4" s="3" t="s">
        <v>90</v>
      </c>
      <c r="F4" s="177"/>
      <c r="G4" s="177"/>
      <c r="H4" s="177"/>
      <c r="I4" s="177"/>
      <c r="J4" s="177"/>
    </row>
    <row r="5" spans="1:10" x14ac:dyDescent="0.25">
      <c r="A5" s="177" t="s">
        <v>93</v>
      </c>
      <c r="B5" s="177">
        <v>30</v>
      </c>
      <c r="C5" s="177" t="s">
        <v>94</v>
      </c>
      <c r="D5" s="177" t="s">
        <v>95</v>
      </c>
      <c r="E5" s="3" t="s">
        <v>90</v>
      </c>
      <c r="F5" s="177"/>
      <c r="G5" s="177"/>
      <c r="H5" s="177"/>
      <c r="I5" s="177"/>
      <c r="J5" s="177"/>
    </row>
    <row r="6" spans="1:10" x14ac:dyDescent="0.25">
      <c r="A6" s="177" t="s">
        <v>93</v>
      </c>
      <c r="B6" s="177">
        <v>20</v>
      </c>
      <c r="C6" s="177" t="s">
        <v>94</v>
      </c>
      <c r="D6" s="177" t="s">
        <v>96</v>
      </c>
      <c r="E6" s="3" t="s">
        <v>90</v>
      </c>
      <c r="F6" s="177"/>
      <c r="G6" s="177"/>
      <c r="H6" s="177"/>
      <c r="I6" s="177"/>
      <c r="J6" s="177"/>
    </row>
    <row r="7" spans="1:10" x14ac:dyDescent="0.25">
      <c r="A7" s="198" t="s">
        <v>93</v>
      </c>
      <c r="B7" s="177">
        <v>10</v>
      </c>
      <c r="C7" s="177" t="s">
        <v>94</v>
      </c>
      <c r="D7" s="177" t="s">
        <v>97</v>
      </c>
      <c r="E7" s="3" t="s">
        <v>90</v>
      </c>
      <c r="F7" s="177"/>
      <c r="G7" s="177"/>
      <c r="H7" s="177"/>
      <c r="I7" s="177"/>
      <c r="J7" s="177"/>
    </row>
    <row r="8" spans="1:10" x14ac:dyDescent="0.25">
      <c r="A8" s="177" t="s">
        <v>93</v>
      </c>
      <c r="B8" s="177">
        <v>14</v>
      </c>
      <c r="C8" s="177" t="s">
        <v>94</v>
      </c>
      <c r="D8" s="177" t="s">
        <v>98</v>
      </c>
      <c r="E8" s="3" t="s">
        <v>90</v>
      </c>
      <c r="F8" s="177"/>
      <c r="G8" s="177"/>
      <c r="H8" s="177"/>
      <c r="I8" s="177"/>
      <c r="J8" s="177"/>
    </row>
    <row r="9" spans="1:10" s="183" customFormat="1" x14ac:dyDescent="0.25">
      <c r="A9" s="281" t="s">
        <v>411</v>
      </c>
      <c r="B9" s="281">
        <v>260</v>
      </c>
      <c r="C9" s="281" t="s">
        <v>412</v>
      </c>
      <c r="D9" s="281"/>
      <c r="E9" s="282"/>
      <c r="F9" s="281"/>
      <c r="G9" s="281"/>
      <c r="H9" s="281"/>
      <c r="I9" s="281"/>
      <c r="J9" s="281"/>
    </row>
    <row r="10" spans="1:10" x14ac:dyDescent="0.25">
      <c r="A10" s="177"/>
      <c r="B10" s="177"/>
      <c r="C10" s="177"/>
      <c r="D10" s="177"/>
      <c r="E10" s="177"/>
      <c r="F10" s="177"/>
      <c r="G10" s="177"/>
      <c r="H10" s="177"/>
      <c r="I10" s="177"/>
      <c r="J10" s="177"/>
    </row>
    <row r="11" spans="1:10" x14ac:dyDescent="0.25">
      <c r="A11" s="177" t="s">
        <v>99</v>
      </c>
      <c r="B11" s="179">
        <v>16.2</v>
      </c>
      <c r="C11" s="177" t="s">
        <v>100</v>
      </c>
      <c r="D11" s="177" t="s">
        <v>101</v>
      </c>
      <c r="E11" s="3" t="s">
        <v>90</v>
      </c>
      <c r="F11" s="177"/>
      <c r="G11" s="177"/>
      <c r="H11" s="177"/>
      <c r="I11" s="177"/>
      <c r="J11" s="177"/>
    </row>
    <row r="12" spans="1:10" x14ac:dyDescent="0.25">
      <c r="A12" s="177" t="s">
        <v>102</v>
      </c>
      <c r="B12" s="179">
        <v>29.4</v>
      </c>
      <c r="C12" s="177" t="s">
        <v>100</v>
      </c>
      <c r="D12" s="177" t="s">
        <v>103</v>
      </c>
      <c r="E12" s="3" t="s">
        <v>90</v>
      </c>
      <c r="F12" s="177"/>
      <c r="G12" s="177"/>
      <c r="H12" s="177"/>
      <c r="I12" s="177"/>
      <c r="J12" s="177"/>
    </row>
    <row r="13" spans="1:10" x14ac:dyDescent="0.25">
      <c r="A13" s="177" t="s">
        <v>104</v>
      </c>
      <c r="B13" s="179">
        <v>17.8</v>
      </c>
      <c r="C13" s="177" t="s">
        <v>100</v>
      </c>
      <c r="D13" s="177" t="s">
        <v>105</v>
      </c>
      <c r="E13" s="3" t="s">
        <v>90</v>
      </c>
      <c r="F13" s="177"/>
      <c r="G13" s="177"/>
      <c r="H13" s="177"/>
      <c r="I13" s="177"/>
      <c r="J13" s="177"/>
    </row>
    <row r="14" spans="1:10" x14ac:dyDescent="0.25">
      <c r="A14" s="177" t="s">
        <v>106</v>
      </c>
      <c r="B14" s="179">
        <v>32.4</v>
      </c>
      <c r="C14" s="177" t="s">
        <v>100</v>
      </c>
      <c r="D14" s="177" t="s">
        <v>107</v>
      </c>
      <c r="E14" s="3" t="s">
        <v>90</v>
      </c>
      <c r="F14" s="177"/>
      <c r="G14" s="177"/>
      <c r="H14" s="177"/>
      <c r="I14" s="177"/>
      <c r="J14" s="177"/>
    </row>
    <row r="15" spans="1:10" x14ac:dyDescent="0.25">
      <c r="A15" s="177" t="s">
        <v>108</v>
      </c>
      <c r="B15" s="179">
        <v>32</v>
      </c>
      <c r="C15" s="177" t="s">
        <v>100</v>
      </c>
      <c r="D15" s="177" t="s">
        <v>109</v>
      </c>
      <c r="E15" s="3" t="s">
        <v>90</v>
      </c>
      <c r="F15" s="177"/>
      <c r="G15" s="177"/>
      <c r="H15" s="177"/>
      <c r="I15" s="177"/>
      <c r="J15" s="177"/>
    </row>
    <row r="16" spans="1:10" x14ac:dyDescent="0.25">
      <c r="A16" s="177" t="s">
        <v>110</v>
      </c>
      <c r="B16" s="179">
        <v>33.6</v>
      </c>
      <c r="C16" s="177" t="s">
        <v>100</v>
      </c>
      <c r="D16" s="177" t="s">
        <v>111</v>
      </c>
      <c r="E16" s="3" t="s">
        <v>90</v>
      </c>
      <c r="F16" s="177"/>
      <c r="G16" s="177"/>
      <c r="H16" s="177"/>
      <c r="I16" s="177"/>
      <c r="J16" s="177"/>
    </row>
    <row r="17" spans="1:10" x14ac:dyDescent="0.25">
      <c r="A17" s="177" t="s">
        <v>112</v>
      </c>
      <c r="B17" s="179">
        <v>50.7</v>
      </c>
      <c r="C17" s="177" t="s">
        <v>100</v>
      </c>
      <c r="D17" s="177" t="s">
        <v>111</v>
      </c>
      <c r="E17" s="3" t="s">
        <v>90</v>
      </c>
      <c r="F17" s="177"/>
      <c r="G17" s="177"/>
      <c r="H17" s="177"/>
      <c r="I17" s="177"/>
      <c r="J17" s="177"/>
    </row>
    <row r="18" spans="1:10" x14ac:dyDescent="0.25">
      <c r="A18" s="177" t="s">
        <v>113</v>
      </c>
      <c r="B18" s="179">
        <v>52.5</v>
      </c>
      <c r="C18" s="177" t="s">
        <v>100</v>
      </c>
      <c r="D18" s="177" t="s">
        <v>111</v>
      </c>
      <c r="E18" s="3" t="s">
        <v>90</v>
      </c>
      <c r="F18" s="177"/>
      <c r="G18" s="177"/>
      <c r="H18" s="177"/>
      <c r="I18" s="177"/>
      <c r="J18" s="177"/>
    </row>
    <row r="19" spans="1:10" x14ac:dyDescent="0.25">
      <c r="A19" s="177"/>
      <c r="B19" s="177"/>
      <c r="C19" s="177"/>
      <c r="D19" s="177"/>
      <c r="E19" s="177"/>
      <c r="F19" s="177"/>
      <c r="G19" s="177"/>
      <c r="H19" s="177"/>
      <c r="I19" s="177"/>
      <c r="J19" s="177"/>
    </row>
    <row r="20" spans="1:10" x14ac:dyDescent="0.25">
      <c r="A20" s="177" t="s">
        <v>114</v>
      </c>
      <c r="B20" s="177">
        <v>1.48</v>
      </c>
      <c r="C20" s="177" t="s">
        <v>115</v>
      </c>
      <c r="D20" s="177" t="s">
        <v>116</v>
      </c>
      <c r="E20" s="3" t="s">
        <v>90</v>
      </c>
      <c r="F20" s="177"/>
      <c r="G20" s="177"/>
      <c r="H20" s="177"/>
      <c r="I20" s="177"/>
      <c r="J20" s="177"/>
    </row>
    <row r="21" spans="1:10" x14ac:dyDescent="0.25">
      <c r="A21" s="177" t="s">
        <v>117</v>
      </c>
      <c r="B21" s="177">
        <v>1.58</v>
      </c>
      <c r="C21" s="177" t="s">
        <v>115</v>
      </c>
      <c r="D21" s="177" t="s">
        <v>118</v>
      </c>
      <c r="E21" s="3" t="s">
        <v>90</v>
      </c>
      <c r="F21" s="177"/>
      <c r="G21" s="177"/>
      <c r="H21" s="177"/>
      <c r="I21" s="177"/>
      <c r="J21" s="177"/>
    </row>
    <row r="22" spans="1:10" x14ac:dyDescent="0.25">
      <c r="A22" s="177" t="s">
        <v>119</v>
      </c>
      <c r="B22" s="177">
        <v>2.02</v>
      </c>
      <c r="C22" s="177" t="s">
        <v>115</v>
      </c>
      <c r="D22" s="177" t="s">
        <v>120</v>
      </c>
      <c r="E22" s="3" t="s">
        <v>90</v>
      </c>
      <c r="F22" s="177"/>
      <c r="G22" s="177"/>
      <c r="H22" s="177"/>
      <c r="I22" s="177"/>
      <c r="J22" s="177"/>
    </row>
    <row r="23" spans="1:10" x14ac:dyDescent="0.25">
      <c r="A23" s="177" t="s">
        <v>121</v>
      </c>
      <c r="B23" s="177">
        <v>1.67</v>
      </c>
      <c r="C23" s="177" t="s">
        <v>115</v>
      </c>
      <c r="D23" s="177"/>
      <c r="E23" s="3" t="s">
        <v>90</v>
      </c>
      <c r="F23" s="177"/>
      <c r="G23" s="177"/>
      <c r="H23" s="177"/>
      <c r="I23" s="177"/>
      <c r="J23" s="177"/>
    </row>
    <row r="24" spans="1:10" x14ac:dyDescent="0.25">
      <c r="A24" s="177" t="s">
        <v>122</v>
      </c>
      <c r="B24" s="177">
        <v>260</v>
      </c>
      <c r="C24" s="177" t="s">
        <v>123</v>
      </c>
      <c r="D24" s="177"/>
      <c r="E24" s="3" t="s">
        <v>90</v>
      </c>
      <c r="F24" s="177"/>
      <c r="G24" s="177"/>
      <c r="H24" s="177"/>
      <c r="I24" s="177"/>
      <c r="J24" s="177"/>
    </row>
    <row r="25" spans="1:10" x14ac:dyDescent="0.25">
      <c r="A25" s="177" t="s">
        <v>124</v>
      </c>
      <c r="B25" s="177">
        <v>105</v>
      </c>
      <c r="C25" s="177" t="s">
        <v>123</v>
      </c>
      <c r="D25" s="177"/>
      <c r="E25" s="3" t="s">
        <v>90</v>
      </c>
      <c r="F25" s="177"/>
      <c r="G25" s="177"/>
      <c r="H25" s="177"/>
      <c r="I25" s="177"/>
      <c r="J25" s="177"/>
    </row>
    <row r="26" spans="1:10" x14ac:dyDescent="0.25">
      <c r="A26" s="177" t="s">
        <v>125</v>
      </c>
      <c r="B26" s="177">
        <v>320</v>
      </c>
      <c r="C26" s="177" t="s">
        <v>123</v>
      </c>
      <c r="D26" s="177" t="s">
        <v>126</v>
      </c>
      <c r="E26" s="3" t="s">
        <v>90</v>
      </c>
      <c r="F26" s="177"/>
      <c r="G26" s="177"/>
      <c r="H26" s="177"/>
      <c r="I26" s="177"/>
      <c r="J26" s="177"/>
    </row>
    <row r="27" spans="1:10" x14ac:dyDescent="0.25">
      <c r="A27" s="177" t="s">
        <v>127</v>
      </c>
      <c r="B27" s="177">
        <v>6</v>
      </c>
      <c r="C27" s="177" t="s">
        <v>128</v>
      </c>
      <c r="D27" s="177"/>
      <c r="E27" s="3" t="s">
        <v>90</v>
      </c>
      <c r="F27" s="177"/>
      <c r="G27" s="177"/>
      <c r="H27" s="177"/>
      <c r="I27" s="177"/>
      <c r="J27" s="177"/>
    </row>
    <row r="28" spans="1:10" x14ac:dyDescent="0.25">
      <c r="A28" s="177" t="s">
        <v>129</v>
      </c>
      <c r="B28" s="177">
        <v>18</v>
      </c>
      <c r="C28" s="177" t="s">
        <v>128</v>
      </c>
      <c r="D28" s="177"/>
      <c r="E28" s="3" t="s">
        <v>90</v>
      </c>
      <c r="F28" s="177"/>
      <c r="G28" s="177"/>
      <c r="H28" s="177"/>
      <c r="I28" s="177"/>
      <c r="J28" s="177"/>
    </row>
    <row r="29" spans="1:10" x14ac:dyDescent="0.25">
      <c r="A29" s="177"/>
      <c r="B29" s="177"/>
      <c r="C29" s="177"/>
      <c r="D29" s="177"/>
      <c r="E29" s="177"/>
      <c r="F29" s="177"/>
      <c r="G29" s="177"/>
      <c r="H29" s="177"/>
      <c r="I29" s="177"/>
      <c r="J29" s="177"/>
    </row>
    <row r="30" spans="1:10" x14ac:dyDescent="0.25">
      <c r="A30" s="198" t="s">
        <v>130</v>
      </c>
      <c r="B30" s="179">
        <v>0.45</v>
      </c>
      <c r="C30" s="177" t="s">
        <v>131</v>
      </c>
      <c r="D30" s="177" t="s">
        <v>132</v>
      </c>
      <c r="E30" s="3" t="s">
        <v>90</v>
      </c>
      <c r="F30" s="177"/>
      <c r="G30" s="177"/>
      <c r="H30" s="177"/>
      <c r="I30" s="177"/>
      <c r="J30" s="177"/>
    </row>
    <row r="31" spans="1:10" x14ac:dyDescent="0.25">
      <c r="A31" s="177" t="s">
        <v>133</v>
      </c>
      <c r="B31" s="179">
        <v>0.94</v>
      </c>
      <c r="C31" s="177" t="s">
        <v>131</v>
      </c>
      <c r="D31" s="177" t="s">
        <v>132</v>
      </c>
      <c r="E31" s="3" t="s">
        <v>90</v>
      </c>
      <c r="F31" s="177"/>
      <c r="G31" s="177"/>
      <c r="H31" s="177"/>
      <c r="I31" s="177"/>
      <c r="J31" s="177"/>
    </row>
    <row r="32" spans="1:10" x14ac:dyDescent="0.25">
      <c r="A32" s="177"/>
      <c r="B32" s="177"/>
      <c r="C32" s="177"/>
      <c r="D32" s="177"/>
      <c r="E32" s="176"/>
      <c r="F32" s="177"/>
      <c r="G32" s="177"/>
      <c r="H32" s="177"/>
      <c r="I32" s="177"/>
      <c r="J32" s="177"/>
    </row>
    <row r="33" spans="1:10" x14ac:dyDescent="0.25">
      <c r="A33" s="177" t="s">
        <v>134</v>
      </c>
      <c r="B33" s="179">
        <v>0.1</v>
      </c>
      <c r="C33" s="177" t="s">
        <v>135</v>
      </c>
      <c r="D33" s="177" t="s">
        <v>136</v>
      </c>
      <c r="E33" s="3" t="s">
        <v>90</v>
      </c>
      <c r="F33" s="177"/>
      <c r="G33" s="177"/>
      <c r="H33" s="177"/>
      <c r="I33" s="177"/>
      <c r="J33" s="177"/>
    </row>
    <row r="34" spans="1:10" x14ac:dyDescent="0.25">
      <c r="A34" s="177" t="s">
        <v>137</v>
      </c>
      <c r="B34" s="179">
        <v>0.18</v>
      </c>
      <c r="C34" s="177" t="s">
        <v>138</v>
      </c>
      <c r="D34" s="177" t="s">
        <v>139</v>
      </c>
      <c r="E34" s="3" t="s">
        <v>90</v>
      </c>
      <c r="F34" s="177"/>
      <c r="G34" s="177"/>
      <c r="H34" s="177"/>
      <c r="I34" s="177"/>
      <c r="J34" s="177"/>
    </row>
    <row r="35" spans="1:10" x14ac:dyDescent="0.25">
      <c r="A35" s="177" t="s">
        <v>140</v>
      </c>
      <c r="B35" s="179">
        <v>0.46</v>
      </c>
      <c r="C35" s="177" t="s">
        <v>138</v>
      </c>
      <c r="D35" s="177" t="s">
        <v>141</v>
      </c>
      <c r="E35" s="3" t="s">
        <v>90</v>
      </c>
      <c r="F35" s="177"/>
      <c r="G35" s="177"/>
      <c r="H35" s="177"/>
      <c r="I35" s="177"/>
      <c r="J35" s="177"/>
    </row>
    <row r="36" spans="1:10" x14ac:dyDescent="0.25">
      <c r="A36" s="177"/>
      <c r="B36" s="177"/>
      <c r="C36" s="177"/>
      <c r="D36" s="177"/>
      <c r="E36" s="176"/>
      <c r="F36" s="177"/>
      <c r="G36" s="177"/>
      <c r="H36" s="177"/>
      <c r="I36" s="177"/>
      <c r="J36" s="177"/>
    </row>
    <row r="37" spans="1:10" x14ac:dyDescent="0.25">
      <c r="A37" s="177" t="s">
        <v>142</v>
      </c>
      <c r="B37" s="179">
        <v>1.42</v>
      </c>
      <c r="C37" s="177" t="s">
        <v>143</v>
      </c>
      <c r="D37" s="177" t="s">
        <v>144</v>
      </c>
      <c r="E37" s="3" t="s">
        <v>90</v>
      </c>
      <c r="F37" s="177"/>
      <c r="G37" s="177"/>
      <c r="H37" s="177"/>
      <c r="I37" s="177"/>
      <c r="J37" s="177"/>
    </row>
    <row r="38" spans="1:10" x14ac:dyDescent="0.25">
      <c r="A38" s="177" t="s">
        <v>145</v>
      </c>
      <c r="B38" s="179">
        <v>1.78</v>
      </c>
      <c r="C38" s="177" t="s">
        <v>143</v>
      </c>
      <c r="D38" s="177" t="s">
        <v>144</v>
      </c>
      <c r="E38" s="3" t="s">
        <v>90</v>
      </c>
      <c r="F38" s="177"/>
      <c r="G38" s="177"/>
      <c r="H38" s="177"/>
      <c r="I38" s="177"/>
      <c r="J38" s="177"/>
    </row>
    <row r="39" spans="1:10" x14ac:dyDescent="0.25">
      <c r="A39" s="177" t="s">
        <v>146</v>
      </c>
      <c r="B39" s="179">
        <v>1.69</v>
      </c>
      <c r="C39" s="177" t="s">
        <v>143</v>
      </c>
      <c r="D39" s="177" t="s">
        <v>144</v>
      </c>
      <c r="E39" s="3" t="s">
        <v>90</v>
      </c>
      <c r="F39" s="177"/>
      <c r="G39" s="177"/>
      <c r="H39" s="177"/>
      <c r="I39" s="177"/>
      <c r="J39" s="177"/>
    </row>
    <row r="40" spans="1:10" x14ac:dyDescent="0.25">
      <c r="A40" s="177" t="s">
        <v>147</v>
      </c>
      <c r="B40" s="179">
        <v>0.26</v>
      </c>
      <c r="C40" s="177" t="s">
        <v>143</v>
      </c>
      <c r="D40" s="177" t="s">
        <v>144</v>
      </c>
      <c r="E40" s="3" t="s">
        <v>90</v>
      </c>
      <c r="F40" s="177"/>
      <c r="G40" s="177"/>
      <c r="H40" s="177"/>
      <c r="I40" s="177"/>
      <c r="J40" s="177"/>
    </row>
    <row r="41" spans="1:10" x14ac:dyDescent="0.25">
      <c r="A41" s="177" t="s">
        <v>148</v>
      </c>
      <c r="B41" s="179">
        <v>1.69</v>
      </c>
      <c r="C41" s="177" t="s">
        <v>143</v>
      </c>
      <c r="D41" s="177" t="s">
        <v>144</v>
      </c>
      <c r="E41" s="3" t="s">
        <v>90</v>
      </c>
      <c r="F41" s="177"/>
      <c r="G41" s="177"/>
      <c r="H41" s="177"/>
      <c r="I41" s="177"/>
      <c r="J41" s="177"/>
    </row>
    <row r="42" spans="1:10" x14ac:dyDescent="0.25">
      <c r="A42" s="177"/>
      <c r="B42" s="177"/>
      <c r="C42" s="177"/>
      <c r="D42" s="177"/>
      <c r="E42" s="176"/>
      <c r="F42" s="177"/>
      <c r="G42" s="177"/>
      <c r="H42" s="177"/>
      <c r="I42" s="177"/>
      <c r="J42" s="177"/>
    </row>
    <row r="43" spans="1:10" x14ac:dyDescent="0.25">
      <c r="A43" s="198" t="s">
        <v>149</v>
      </c>
      <c r="B43" s="179">
        <v>7.08</v>
      </c>
      <c r="C43" s="177" t="s">
        <v>150</v>
      </c>
      <c r="D43" s="177" t="s">
        <v>151</v>
      </c>
      <c r="E43" s="3" t="s">
        <v>90</v>
      </c>
      <c r="F43" s="177"/>
      <c r="G43" s="177"/>
      <c r="H43" s="177"/>
      <c r="I43" s="177"/>
      <c r="J43" s="177"/>
    </row>
    <row r="44" spans="1:10" x14ac:dyDescent="0.25">
      <c r="A44" s="198" t="s">
        <v>152</v>
      </c>
      <c r="B44" s="179">
        <v>6.31</v>
      </c>
      <c r="C44" s="177" t="s">
        <v>150</v>
      </c>
      <c r="D44" s="177" t="s">
        <v>153</v>
      </c>
      <c r="E44" s="3" t="s">
        <v>90</v>
      </c>
      <c r="F44" s="177"/>
      <c r="G44" s="177"/>
      <c r="H44" s="177"/>
      <c r="I44" s="177"/>
      <c r="J44" s="177"/>
    </row>
    <row r="45" spans="1:10" x14ac:dyDescent="0.25">
      <c r="A45" s="177"/>
      <c r="B45" s="177"/>
      <c r="C45" s="177"/>
      <c r="D45" s="177"/>
      <c r="E45" s="176"/>
      <c r="F45" s="177"/>
      <c r="G45" s="177"/>
      <c r="H45" s="177"/>
      <c r="I45" s="177"/>
      <c r="J45" s="177"/>
    </row>
    <row r="46" spans="1:10" s="183" customFormat="1" x14ac:dyDescent="0.25">
      <c r="A46" s="177"/>
      <c r="B46" s="177"/>
      <c r="C46" s="177"/>
      <c r="D46" s="177" t="s">
        <v>351</v>
      </c>
      <c r="E46" s="176"/>
      <c r="F46" s="177"/>
      <c r="G46" s="177"/>
      <c r="H46" s="177"/>
      <c r="I46" s="177"/>
      <c r="J46" s="177"/>
    </row>
    <row r="47" spans="1:10" x14ac:dyDescent="0.25">
      <c r="A47" s="198" t="s">
        <v>154</v>
      </c>
      <c r="B47" s="197">
        <v>3900</v>
      </c>
      <c r="C47" s="177" t="s">
        <v>155</v>
      </c>
      <c r="D47" s="177" t="s">
        <v>156</v>
      </c>
      <c r="E47" s="3" t="s">
        <v>90</v>
      </c>
      <c r="F47" s="177"/>
      <c r="G47" s="177"/>
      <c r="H47" s="177"/>
      <c r="I47" s="177"/>
      <c r="J47" s="177"/>
    </row>
    <row r="48" spans="1:10" x14ac:dyDescent="0.25">
      <c r="A48" s="198" t="s">
        <v>157</v>
      </c>
      <c r="B48" s="197">
        <v>77200</v>
      </c>
      <c r="C48" s="177" t="s">
        <v>158</v>
      </c>
      <c r="D48" s="177" t="s">
        <v>156</v>
      </c>
      <c r="E48" s="3" t="s">
        <v>90</v>
      </c>
      <c r="F48" s="177"/>
      <c r="G48" s="177"/>
      <c r="H48" s="177"/>
      <c r="I48" s="177"/>
      <c r="J48" s="177"/>
    </row>
    <row r="49" spans="1:10" x14ac:dyDescent="0.25">
      <c r="A49" s="198" t="s">
        <v>159</v>
      </c>
      <c r="B49" s="197">
        <v>151100</v>
      </c>
      <c r="C49" s="177" t="s">
        <v>158</v>
      </c>
      <c r="D49" s="177" t="s">
        <v>156</v>
      </c>
      <c r="E49" s="3" t="s">
        <v>90</v>
      </c>
      <c r="F49" s="177"/>
      <c r="G49" s="177"/>
      <c r="H49" s="177"/>
      <c r="I49" s="177"/>
      <c r="J49" s="177"/>
    </row>
    <row r="50" spans="1:10" x14ac:dyDescent="0.25">
      <c r="A50" s="198" t="s">
        <v>160</v>
      </c>
      <c r="B50" s="197">
        <v>554800</v>
      </c>
      <c r="C50" s="177" t="s">
        <v>158</v>
      </c>
      <c r="D50" s="177" t="s">
        <v>156</v>
      </c>
      <c r="E50" s="3" t="s">
        <v>90</v>
      </c>
      <c r="F50" s="177"/>
      <c r="G50" s="177"/>
      <c r="H50" s="177"/>
      <c r="I50" s="177"/>
      <c r="J50" s="177"/>
    </row>
    <row r="51" spans="1:10" x14ac:dyDescent="0.25">
      <c r="A51" s="198" t="s">
        <v>161</v>
      </c>
      <c r="B51" s="197">
        <v>11600000</v>
      </c>
      <c r="C51" s="177" t="s">
        <v>158</v>
      </c>
      <c r="D51" s="177" t="s">
        <v>156</v>
      </c>
      <c r="E51" s="3" t="s">
        <v>90</v>
      </c>
      <c r="F51" s="177"/>
      <c r="G51" s="177"/>
      <c r="H51" s="177"/>
      <c r="I51" s="177"/>
      <c r="J51" s="177"/>
    </row>
    <row r="52" spans="1:10" x14ac:dyDescent="0.25">
      <c r="A52" s="198" t="s">
        <v>162</v>
      </c>
      <c r="B52" s="197">
        <v>210300</v>
      </c>
      <c r="C52" s="177" t="s">
        <v>158</v>
      </c>
      <c r="D52" s="177" t="s">
        <v>156</v>
      </c>
      <c r="E52" s="3" t="s">
        <v>90</v>
      </c>
      <c r="F52" s="177"/>
      <c r="G52" s="177"/>
      <c r="H52" s="177"/>
      <c r="I52" s="177"/>
      <c r="J52" s="177"/>
    </row>
    <row r="53" spans="1:10" x14ac:dyDescent="0.25">
      <c r="A53" s="177" t="s">
        <v>163</v>
      </c>
      <c r="B53" s="588">
        <v>159800</v>
      </c>
      <c r="C53" s="585" t="s">
        <v>155</v>
      </c>
      <c r="D53" s="585" t="s">
        <v>156</v>
      </c>
      <c r="E53" s="587" t="s">
        <v>90</v>
      </c>
      <c r="F53" s="585"/>
      <c r="G53" s="585"/>
      <c r="H53" s="585"/>
      <c r="I53" s="585"/>
      <c r="J53" s="585"/>
    </row>
    <row r="54" spans="1:10" x14ac:dyDescent="0.25">
      <c r="A54" s="177" t="s">
        <v>164</v>
      </c>
      <c r="B54" s="588"/>
      <c r="C54" s="585"/>
      <c r="D54" s="585"/>
      <c r="E54" s="587"/>
      <c r="F54" s="585"/>
      <c r="G54" s="585"/>
      <c r="H54" s="585"/>
      <c r="I54" s="585"/>
      <c r="J54" s="585"/>
    </row>
    <row r="55" spans="1:10" x14ac:dyDescent="0.25">
      <c r="A55" s="177" t="s">
        <v>165</v>
      </c>
      <c r="B55" s="197">
        <v>4600</v>
      </c>
      <c r="C55" s="177" t="s">
        <v>155</v>
      </c>
      <c r="D55" s="177"/>
      <c r="E55" s="3" t="s">
        <v>90</v>
      </c>
      <c r="F55" s="177"/>
      <c r="G55" s="177"/>
      <c r="H55" s="177"/>
      <c r="I55" s="177"/>
      <c r="J55" s="177"/>
    </row>
    <row r="56" spans="1:10" x14ac:dyDescent="0.25">
      <c r="A56" s="177" t="s">
        <v>25</v>
      </c>
      <c r="B56" s="197">
        <v>302600</v>
      </c>
      <c r="C56" s="177" t="s">
        <v>158</v>
      </c>
      <c r="D56" s="177"/>
      <c r="E56" s="3" t="s">
        <v>90</v>
      </c>
      <c r="F56" s="177"/>
      <c r="G56" s="177"/>
      <c r="H56" s="177"/>
      <c r="I56" s="177"/>
      <c r="J56" s="177"/>
    </row>
    <row r="57" spans="1:10" x14ac:dyDescent="0.25">
      <c r="A57" s="177" t="s">
        <v>26</v>
      </c>
      <c r="B57" s="197">
        <v>12837400</v>
      </c>
      <c r="C57" s="177" t="s">
        <v>158</v>
      </c>
      <c r="D57" s="177"/>
      <c r="E57" s="3" t="s">
        <v>90</v>
      </c>
      <c r="F57" s="177"/>
      <c r="G57" s="177"/>
      <c r="H57" s="177"/>
      <c r="I57" s="177"/>
      <c r="J57" s="177"/>
    </row>
    <row r="58" spans="1:10" x14ac:dyDescent="0.25">
      <c r="A58" s="177"/>
      <c r="B58" s="177"/>
      <c r="C58" s="177"/>
      <c r="D58" s="177"/>
      <c r="E58" s="177"/>
      <c r="F58" s="177"/>
      <c r="G58" s="177"/>
      <c r="H58" s="177"/>
      <c r="I58" s="177"/>
      <c r="J58" s="177"/>
    </row>
    <row r="59" spans="1:10" x14ac:dyDescent="0.25">
      <c r="A59" s="177" t="s">
        <v>32</v>
      </c>
      <c r="B59" s="177"/>
      <c r="C59" s="177"/>
      <c r="D59" s="177" t="s">
        <v>166</v>
      </c>
      <c r="E59" s="3" t="s">
        <v>167</v>
      </c>
      <c r="F59" s="177"/>
      <c r="G59" s="177"/>
      <c r="H59" s="177"/>
      <c r="I59" s="177"/>
      <c r="J59" s="177"/>
    </row>
    <row r="60" spans="1:10" x14ac:dyDescent="0.25">
      <c r="A60" s="177" t="s">
        <v>168</v>
      </c>
      <c r="B60" s="177"/>
      <c r="C60" s="177"/>
      <c r="D60" s="177" t="s">
        <v>169</v>
      </c>
      <c r="E60" s="3" t="s">
        <v>170</v>
      </c>
      <c r="F60" s="177"/>
      <c r="G60" s="177"/>
      <c r="H60" s="177"/>
      <c r="I60" s="177"/>
      <c r="J60" s="177"/>
    </row>
    <row r="61" spans="1:10" x14ac:dyDescent="0.25">
      <c r="A61" s="177" t="s">
        <v>171</v>
      </c>
      <c r="B61" s="177"/>
      <c r="C61" s="177"/>
      <c r="D61" s="177" t="s">
        <v>169</v>
      </c>
      <c r="E61" s="3" t="s">
        <v>170</v>
      </c>
      <c r="F61" s="177"/>
      <c r="G61" s="177"/>
      <c r="H61" s="177"/>
      <c r="I61" s="177"/>
      <c r="J61" s="177"/>
    </row>
    <row r="62" spans="1:10" x14ac:dyDescent="0.25">
      <c r="A62" s="177" t="s">
        <v>172</v>
      </c>
      <c r="B62" s="177"/>
      <c r="C62" s="177"/>
      <c r="D62" s="177" t="s">
        <v>169</v>
      </c>
      <c r="E62" s="3" t="s">
        <v>170</v>
      </c>
      <c r="F62" s="177"/>
      <c r="G62" s="177"/>
      <c r="H62" s="177"/>
      <c r="I62" s="177"/>
      <c r="J62" s="177"/>
    </row>
    <row r="63" spans="1:10" x14ac:dyDescent="0.25">
      <c r="A63" s="177" t="s">
        <v>173</v>
      </c>
      <c r="B63" s="177"/>
      <c r="C63" s="177"/>
      <c r="D63" s="177" t="s">
        <v>169</v>
      </c>
      <c r="E63" s="3" t="s">
        <v>170</v>
      </c>
      <c r="F63" s="177"/>
      <c r="G63" s="177"/>
      <c r="H63" s="177"/>
      <c r="I63" s="177"/>
      <c r="J63" s="177"/>
    </row>
    <row r="64" spans="1:10" x14ac:dyDescent="0.25">
      <c r="A64" s="177"/>
      <c r="B64" s="177"/>
      <c r="C64" s="177"/>
      <c r="D64" s="177"/>
      <c r="E64" s="176"/>
      <c r="F64" s="177"/>
      <c r="G64" s="177"/>
      <c r="H64" s="177"/>
      <c r="I64" s="177"/>
      <c r="J64" s="177"/>
    </row>
    <row r="65" spans="1:10" x14ac:dyDescent="0.25">
      <c r="A65" s="177" t="s">
        <v>174</v>
      </c>
      <c r="B65" s="179">
        <v>0.03</v>
      </c>
      <c r="C65" s="177" t="s">
        <v>175</v>
      </c>
      <c r="D65" s="177"/>
      <c r="E65" s="3" t="s">
        <v>90</v>
      </c>
      <c r="F65" s="177"/>
      <c r="G65" s="177"/>
      <c r="H65" s="177"/>
      <c r="I65" s="177"/>
      <c r="J65" s="177"/>
    </row>
    <row r="66" spans="1:10" x14ac:dyDescent="0.25">
      <c r="A66" s="177" t="s">
        <v>176</v>
      </c>
      <c r="B66" s="179">
        <v>0.28999999999999998</v>
      </c>
      <c r="C66" s="177" t="s">
        <v>175</v>
      </c>
      <c r="D66" s="177"/>
      <c r="E66" s="3" t="s">
        <v>90</v>
      </c>
      <c r="F66" s="177"/>
      <c r="G66" s="177"/>
      <c r="H66" s="177"/>
      <c r="I66" s="177"/>
      <c r="J66" s="177"/>
    </row>
    <row r="67" spans="1:10" x14ac:dyDescent="0.25">
      <c r="A67" s="177" t="s">
        <v>177</v>
      </c>
      <c r="B67" s="586">
        <v>0.22</v>
      </c>
      <c r="C67" s="585" t="s">
        <v>175</v>
      </c>
      <c r="D67" s="585"/>
      <c r="E67" s="587" t="s">
        <v>90</v>
      </c>
      <c r="F67" s="585"/>
      <c r="G67" s="585"/>
      <c r="H67" s="585"/>
      <c r="I67" s="585"/>
      <c r="J67" s="585"/>
    </row>
    <row r="68" spans="1:10" x14ac:dyDescent="0.25">
      <c r="A68" s="177" t="s">
        <v>178</v>
      </c>
      <c r="B68" s="586"/>
      <c r="C68" s="585"/>
      <c r="D68" s="585"/>
      <c r="E68" s="587"/>
      <c r="F68" s="585"/>
      <c r="G68" s="585"/>
      <c r="H68" s="585"/>
      <c r="I68" s="585"/>
      <c r="J68" s="585"/>
    </row>
    <row r="69" spans="1:10" x14ac:dyDescent="0.25">
      <c r="A69" s="177" t="s">
        <v>179</v>
      </c>
      <c r="B69" s="179">
        <v>0.28999999999999998</v>
      </c>
      <c r="C69" s="177" t="s">
        <v>175</v>
      </c>
      <c r="D69" s="177"/>
      <c r="E69" s="3" t="s">
        <v>90</v>
      </c>
      <c r="F69" s="177"/>
      <c r="G69" s="177"/>
      <c r="H69" s="177"/>
      <c r="I69" s="177"/>
      <c r="J69" s="177"/>
    </row>
    <row r="70" spans="1:10" x14ac:dyDescent="0.25">
      <c r="A70" s="177" t="s">
        <v>180</v>
      </c>
      <c r="B70" s="179">
        <v>0.18</v>
      </c>
      <c r="C70" s="177" t="s">
        <v>175</v>
      </c>
      <c r="D70" s="177"/>
      <c r="E70" s="3" t="s">
        <v>90</v>
      </c>
      <c r="F70" s="177"/>
      <c r="G70" s="177"/>
      <c r="H70" s="177"/>
      <c r="I70" s="177"/>
      <c r="J70" s="177"/>
    </row>
    <row r="71" spans="1:10" x14ac:dyDescent="0.25">
      <c r="A71" s="177" t="s">
        <v>181</v>
      </c>
      <c r="B71" s="586">
        <v>0.24</v>
      </c>
      <c r="C71" s="585" t="s">
        <v>175</v>
      </c>
      <c r="D71" s="585"/>
      <c r="E71" s="587" t="s">
        <v>90</v>
      </c>
      <c r="F71" s="585"/>
      <c r="G71" s="585"/>
      <c r="H71" s="585"/>
      <c r="I71" s="585"/>
      <c r="J71" s="585"/>
    </row>
    <row r="72" spans="1:10" x14ac:dyDescent="0.25">
      <c r="A72" s="177" t="s">
        <v>182</v>
      </c>
      <c r="B72" s="586"/>
      <c r="C72" s="585"/>
      <c r="D72" s="585"/>
      <c r="E72" s="587"/>
      <c r="F72" s="585"/>
      <c r="G72" s="585"/>
      <c r="H72" s="585"/>
      <c r="I72" s="585"/>
      <c r="J72" s="585"/>
    </row>
    <row r="73" spans="1:10" x14ac:dyDescent="0.25">
      <c r="A73" s="177" t="s">
        <v>183</v>
      </c>
      <c r="B73" s="586">
        <v>0.14000000000000001</v>
      </c>
      <c r="C73" s="585" t="s">
        <v>175</v>
      </c>
      <c r="D73" s="585"/>
      <c r="E73" s="587" t="s">
        <v>90</v>
      </c>
      <c r="F73" s="585"/>
      <c r="G73" s="585"/>
      <c r="H73" s="585"/>
      <c r="I73" s="585"/>
      <c r="J73" s="585"/>
    </row>
    <row r="74" spans="1:10" x14ac:dyDescent="0.25">
      <c r="A74" s="177" t="s">
        <v>184</v>
      </c>
      <c r="B74" s="586"/>
      <c r="C74" s="585"/>
      <c r="D74" s="585"/>
      <c r="E74" s="587"/>
      <c r="F74" s="585"/>
      <c r="G74" s="585"/>
      <c r="H74" s="585"/>
      <c r="I74" s="585"/>
      <c r="J74" s="585"/>
    </row>
    <row r="75" spans="1:10" x14ac:dyDescent="0.25">
      <c r="A75" s="177" t="s">
        <v>185</v>
      </c>
      <c r="B75" s="179">
        <v>0.1</v>
      </c>
      <c r="C75" s="177" t="s">
        <v>175</v>
      </c>
      <c r="D75" s="177"/>
      <c r="E75" s="3" t="s">
        <v>90</v>
      </c>
      <c r="F75" s="177"/>
      <c r="G75" s="177"/>
      <c r="H75" s="177"/>
      <c r="I75" s="177"/>
      <c r="J75" s="177"/>
    </row>
    <row r="76" spans="1:10" x14ac:dyDescent="0.25">
      <c r="A76" s="177" t="s">
        <v>186</v>
      </c>
      <c r="B76" s="179">
        <v>7.0000000000000007E-2</v>
      </c>
      <c r="C76" s="177" t="s">
        <v>175</v>
      </c>
      <c r="D76" s="177"/>
      <c r="E76" s="3" t="s">
        <v>90</v>
      </c>
      <c r="F76" s="177"/>
      <c r="G76" s="177"/>
      <c r="H76" s="177"/>
      <c r="I76" s="177"/>
      <c r="J76" s="177"/>
    </row>
    <row r="77" spans="1:10" x14ac:dyDescent="0.25">
      <c r="A77" s="177" t="s">
        <v>187</v>
      </c>
      <c r="B77" s="179">
        <v>0.3</v>
      </c>
      <c r="C77" s="177" t="s">
        <v>175</v>
      </c>
      <c r="D77" s="177"/>
      <c r="E77" s="3" t="s">
        <v>90</v>
      </c>
      <c r="F77" s="177"/>
      <c r="G77" s="177"/>
      <c r="H77" s="177"/>
      <c r="I77" s="177"/>
      <c r="J77" s="177"/>
    </row>
    <row r="78" spans="1:10" x14ac:dyDescent="0.25">
      <c r="A78" s="177" t="s">
        <v>188</v>
      </c>
      <c r="B78" s="179">
        <v>0.39</v>
      </c>
      <c r="C78" s="177" t="s">
        <v>175</v>
      </c>
      <c r="D78" s="177"/>
      <c r="E78" s="3" t="s">
        <v>90</v>
      </c>
      <c r="F78" s="177"/>
      <c r="G78" s="177"/>
      <c r="H78" s="177"/>
      <c r="I78" s="177"/>
      <c r="J78" s="177"/>
    </row>
    <row r="79" spans="1:10" x14ac:dyDescent="0.25">
      <c r="A79" s="177" t="s">
        <v>189</v>
      </c>
      <c r="B79" s="179">
        <v>0.28999999999999998</v>
      </c>
      <c r="C79" s="177" t="s">
        <v>175</v>
      </c>
      <c r="D79" s="177"/>
      <c r="E79" s="3" t="s">
        <v>90</v>
      </c>
      <c r="F79" s="177"/>
      <c r="G79" s="177"/>
      <c r="H79" s="177"/>
      <c r="I79" s="177"/>
      <c r="J79" s="177"/>
    </row>
    <row r="80" spans="1:10" x14ac:dyDescent="0.25">
      <c r="A80" s="177" t="s">
        <v>190</v>
      </c>
      <c r="B80" s="179">
        <v>0.59</v>
      </c>
      <c r="C80" s="177" t="s">
        <v>175</v>
      </c>
      <c r="D80" s="177"/>
      <c r="E80" s="3" t="s">
        <v>90</v>
      </c>
      <c r="F80" s="177"/>
      <c r="G80" s="177"/>
      <c r="H80" s="177"/>
      <c r="I80" s="177"/>
      <c r="J80" s="177"/>
    </row>
    <row r="81" spans="1:10" x14ac:dyDescent="0.25">
      <c r="A81" s="198" t="s">
        <v>191</v>
      </c>
      <c r="B81" s="179">
        <v>0.1</v>
      </c>
      <c r="C81" s="177" t="s">
        <v>175</v>
      </c>
      <c r="D81" s="177"/>
      <c r="E81" s="3" t="s">
        <v>90</v>
      </c>
      <c r="F81" s="177"/>
      <c r="G81" s="177"/>
      <c r="H81" s="177"/>
      <c r="I81" s="177"/>
      <c r="J81" s="177"/>
    </row>
    <row r="82" spans="1:10" x14ac:dyDescent="0.25">
      <c r="A82" s="177" t="s">
        <v>192</v>
      </c>
      <c r="B82" s="179">
        <v>0.22</v>
      </c>
      <c r="C82" s="177" t="s">
        <v>175</v>
      </c>
      <c r="D82" s="177"/>
      <c r="E82" s="3" t="s">
        <v>90</v>
      </c>
      <c r="F82" s="177"/>
      <c r="G82" s="177"/>
      <c r="H82" s="177"/>
      <c r="I82" s="177"/>
      <c r="J82" s="177"/>
    </row>
    <row r="83" spans="1:10" x14ac:dyDescent="0.25">
      <c r="A83" s="177" t="s">
        <v>193</v>
      </c>
      <c r="B83" s="179">
        <v>0.03</v>
      </c>
      <c r="C83" s="177" t="s">
        <v>175</v>
      </c>
      <c r="D83" s="177"/>
      <c r="E83" s="3" t="s">
        <v>90</v>
      </c>
      <c r="F83" s="177"/>
      <c r="G83" s="177"/>
      <c r="H83" s="177"/>
      <c r="I83" s="177"/>
      <c r="J83" s="177"/>
    </row>
    <row r="84" spans="1:10" x14ac:dyDescent="0.25">
      <c r="A84" s="177" t="s">
        <v>194</v>
      </c>
      <c r="B84" s="179">
        <v>0.14000000000000001</v>
      </c>
      <c r="C84" s="177" t="s">
        <v>175</v>
      </c>
      <c r="D84" s="177"/>
      <c r="E84" s="3" t="s">
        <v>90</v>
      </c>
      <c r="F84" s="177"/>
      <c r="G84" s="177"/>
      <c r="H84" s="177"/>
      <c r="I84" s="177"/>
      <c r="J84" s="177"/>
    </row>
    <row r="85" spans="1:10" x14ac:dyDescent="0.25">
      <c r="A85" s="177" t="s">
        <v>195</v>
      </c>
      <c r="B85" s="586">
        <v>0.22</v>
      </c>
      <c r="C85" s="585" t="s">
        <v>175</v>
      </c>
      <c r="D85" s="585"/>
      <c r="E85" s="587" t="s">
        <v>90</v>
      </c>
      <c r="F85" s="585"/>
      <c r="G85" s="585"/>
      <c r="H85" s="585"/>
      <c r="I85" s="585"/>
      <c r="J85" s="585"/>
    </row>
    <row r="86" spans="1:10" x14ac:dyDescent="0.25">
      <c r="A86" s="177" t="s">
        <v>178</v>
      </c>
      <c r="B86" s="586"/>
      <c r="C86" s="585"/>
      <c r="D86" s="585"/>
      <c r="E86" s="587"/>
      <c r="F86" s="585"/>
      <c r="G86" s="585"/>
      <c r="H86" s="585"/>
      <c r="I86" s="585"/>
      <c r="J86" s="585"/>
    </row>
    <row r="87" spans="1:10" x14ac:dyDescent="0.25">
      <c r="A87" s="177" t="s">
        <v>196</v>
      </c>
      <c r="B87" s="179">
        <v>0.05</v>
      </c>
      <c r="C87" s="177" t="s">
        <v>175</v>
      </c>
      <c r="D87" s="177"/>
      <c r="E87" s="3" t="s">
        <v>90</v>
      </c>
      <c r="F87" s="177"/>
      <c r="G87" s="177"/>
      <c r="H87" s="177"/>
      <c r="I87" s="177"/>
      <c r="J87" s="177"/>
    </row>
    <row r="88" spans="1:10" x14ac:dyDescent="0.25">
      <c r="A88" s="177" t="s">
        <v>197</v>
      </c>
      <c r="B88" s="179">
        <v>0.13</v>
      </c>
      <c r="C88" s="177" t="s">
        <v>175</v>
      </c>
      <c r="D88" s="177"/>
      <c r="E88" s="3" t="s">
        <v>90</v>
      </c>
      <c r="F88" s="177"/>
      <c r="G88" s="177"/>
      <c r="H88" s="177"/>
      <c r="I88" s="177"/>
      <c r="J88" s="177"/>
    </row>
    <row r="89" spans="1:10" x14ac:dyDescent="0.25">
      <c r="A89" s="177" t="s">
        <v>198</v>
      </c>
      <c r="B89" s="586">
        <v>0.15</v>
      </c>
      <c r="C89" s="585" t="s">
        <v>175</v>
      </c>
      <c r="D89" s="585"/>
      <c r="E89" s="587" t="s">
        <v>90</v>
      </c>
      <c r="F89" s="585"/>
      <c r="G89" s="585"/>
      <c r="H89" s="585"/>
      <c r="I89" s="585"/>
      <c r="J89" s="585"/>
    </row>
    <row r="90" spans="1:10" x14ac:dyDescent="0.25">
      <c r="A90" s="177" t="s">
        <v>182</v>
      </c>
      <c r="B90" s="586"/>
      <c r="C90" s="585"/>
      <c r="D90" s="585"/>
      <c r="E90" s="587"/>
      <c r="F90" s="585"/>
      <c r="G90" s="585"/>
      <c r="H90" s="585"/>
      <c r="I90" s="585"/>
      <c r="J90" s="585"/>
    </row>
    <row r="91" spans="1:10" x14ac:dyDescent="0.25">
      <c r="A91" s="177" t="s">
        <v>199</v>
      </c>
      <c r="B91" s="586">
        <v>0.14000000000000001</v>
      </c>
      <c r="C91" s="585" t="s">
        <v>175</v>
      </c>
      <c r="D91" s="585"/>
      <c r="E91" s="587" t="s">
        <v>90</v>
      </c>
      <c r="F91" s="585"/>
      <c r="G91" s="585"/>
      <c r="H91" s="585"/>
      <c r="I91" s="585"/>
      <c r="J91" s="585"/>
    </row>
    <row r="92" spans="1:10" x14ac:dyDescent="0.25">
      <c r="A92" s="177" t="s">
        <v>184</v>
      </c>
      <c r="B92" s="586"/>
      <c r="C92" s="585"/>
      <c r="D92" s="585"/>
      <c r="E92" s="587"/>
      <c r="F92" s="585"/>
      <c r="G92" s="585"/>
      <c r="H92" s="585"/>
      <c r="I92" s="585"/>
      <c r="J92" s="585"/>
    </row>
    <row r="93" spans="1:10" x14ac:dyDescent="0.25">
      <c r="A93" s="177" t="s">
        <v>200</v>
      </c>
      <c r="B93" s="179">
        <v>0.1</v>
      </c>
      <c r="C93" s="177" t="s">
        <v>175</v>
      </c>
      <c r="D93" s="177"/>
      <c r="E93" s="3" t="s">
        <v>90</v>
      </c>
      <c r="F93" s="177"/>
      <c r="G93" s="177"/>
      <c r="H93" s="177"/>
      <c r="I93" s="177"/>
      <c r="J93" s="177"/>
    </row>
    <row r="94" spans="1:10" x14ac:dyDescent="0.25">
      <c r="A94" s="177" t="s">
        <v>201</v>
      </c>
      <c r="B94" s="179">
        <v>0.03</v>
      </c>
      <c r="C94" s="177" t="s">
        <v>175</v>
      </c>
      <c r="D94" s="177"/>
      <c r="E94" s="3" t="s">
        <v>90</v>
      </c>
      <c r="F94" s="177"/>
      <c r="G94" s="177"/>
      <c r="H94" s="177"/>
      <c r="I94" s="177"/>
      <c r="J94" s="177"/>
    </row>
    <row r="95" spans="1:10" x14ac:dyDescent="0.25">
      <c r="A95" s="177" t="s">
        <v>202</v>
      </c>
      <c r="B95" s="179">
        <v>0.3</v>
      </c>
      <c r="C95" s="177" t="s">
        <v>175</v>
      </c>
      <c r="D95" s="177"/>
      <c r="E95" s="3" t="s">
        <v>90</v>
      </c>
      <c r="F95" s="177"/>
      <c r="G95" s="177"/>
      <c r="H95" s="177"/>
      <c r="I95" s="177"/>
      <c r="J95" s="177"/>
    </row>
    <row r="96" spans="1:10" x14ac:dyDescent="0.25">
      <c r="A96" s="177" t="s">
        <v>203</v>
      </c>
      <c r="B96" s="179">
        <v>7.0000000000000007E-2</v>
      </c>
      <c r="C96" s="177" t="s">
        <v>175</v>
      </c>
      <c r="D96" s="177"/>
      <c r="E96" s="3" t="s">
        <v>90</v>
      </c>
      <c r="F96" s="177"/>
      <c r="G96" s="177"/>
      <c r="H96" s="177"/>
      <c r="I96" s="177"/>
      <c r="J96" s="177"/>
    </row>
    <row r="97" spans="1:10" x14ac:dyDescent="0.25">
      <c r="A97" s="177" t="s">
        <v>204</v>
      </c>
      <c r="B97" s="179">
        <v>0.28999999999999998</v>
      </c>
      <c r="C97" s="177" t="s">
        <v>175</v>
      </c>
      <c r="D97" s="177"/>
      <c r="E97" s="3" t="s">
        <v>90</v>
      </c>
      <c r="F97" s="177"/>
      <c r="G97" s="177"/>
      <c r="H97" s="177"/>
      <c r="I97" s="177"/>
      <c r="J97" s="177"/>
    </row>
    <row r="98" spans="1:10" x14ac:dyDescent="0.25">
      <c r="A98" s="177" t="s">
        <v>205</v>
      </c>
      <c r="B98" s="179">
        <v>0.59</v>
      </c>
      <c r="C98" s="177" t="s">
        <v>175</v>
      </c>
      <c r="D98" s="177"/>
      <c r="E98" s="3" t="s">
        <v>90</v>
      </c>
      <c r="F98" s="177"/>
      <c r="G98" s="177"/>
      <c r="H98" s="177"/>
      <c r="I98" s="177"/>
      <c r="J98" s="177"/>
    </row>
    <row r="99" spans="1:10" x14ac:dyDescent="0.25">
      <c r="A99" s="198" t="s">
        <v>206</v>
      </c>
      <c r="B99" s="179">
        <v>0.1</v>
      </c>
      <c r="C99" s="177" t="s">
        <v>175</v>
      </c>
      <c r="D99" s="177"/>
      <c r="E99" s="3" t="s">
        <v>90</v>
      </c>
      <c r="F99" s="177"/>
      <c r="G99" s="177"/>
      <c r="H99" s="177"/>
      <c r="I99" s="177"/>
      <c r="J99" s="177"/>
    </row>
    <row r="100" spans="1:10" x14ac:dyDescent="0.25">
      <c r="A100" s="177" t="s">
        <v>207</v>
      </c>
      <c r="B100" s="179">
        <v>0.09</v>
      </c>
      <c r="C100" s="177" t="s">
        <v>175</v>
      </c>
      <c r="D100" s="177"/>
      <c r="E100" s="3" t="s">
        <v>90</v>
      </c>
      <c r="F100" s="177"/>
      <c r="G100" s="177"/>
      <c r="H100" s="177"/>
      <c r="I100" s="177"/>
      <c r="J100" s="177"/>
    </row>
    <row r="101" spans="1:10" x14ac:dyDescent="0.25">
      <c r="A101" s="177" t="s">
        <v>208</v>
      </c>
      <c r="B101" s="179">
        <v>0.06</v>
      </c>
      <c r="C101" s="177" t="s">
        <v>175</v>
      </c>
      <c r="D101" s="177"/>
      <c r="E101" s="3" t="s">
        <v>90</v>
      </c>
      <c r="F101" s="177"/>
      <c r="G101" s="177"/>
      <c r="H101" s="177"/>
      <c r="I101" s="177"/>
      <c r="J101" s="177"/>
    </row>
    <row r="102" spans="1:10" x14ac:dyDescent="0.25">
      <c r="A102" s="177" t="s">
        <v>209</v>
      </c>
      <c r="B102" s="179">
        <v>0.82</v>
      </c>
      <c r="C102" s="177" t="s">
        <v>175</v>
      </c>
      <c r="D102" s="177"/>
      <c r="E102" s="3" t="s">
        <v>90</v>
      </c>
      <c r="F102" s="177"/>
      <c r="G102" s="177"/>
      <c r="H102" s="177"/>
      <c r="I102" s="177"/>
      <c r="J102" s="177"/>
    </row>
    <row r="103" spans="1:10" x14ac:dyDescent="0.25">
      <c r="A103" s="177" t="s">
        <v>210</v>
      </c>
      <c r="B103" s="586">
        <v>0.1</v>
      </c>
      <c r="C103" s="585" t="s">
        <v>175</v>
      </c>
      <c r="D103" s="585"/>
      <c r="E103" s="587" t="s">
        <v>90</v>
      </c>
      <c r="F103" s="585"/>
      <c r="G103" s="585"/>
      <c r="H103" s="585"/>
      <c r="I103" s="585"/>
      <c r="J103" s="585"/>
    </row>
    <row r="104" spans="1:10" x14ac:dyDescent="0.25">
      <c r="A104" s="177" t="s">
        <v>178</v>
      </c>
      <c r="B104" s="586"/>
      <c r="C104" s="585"/>
      <c r="D104" s="585"/>
      <c r="E104" s="587"/>
      <c r="F104" s="585"/>
      <c r="G104" s="585"/>
      <c r="H104" s="585"/>
      <c r="I104" s="585"/>
      <c r="J104" s="585"/>
    </row>
    <row r="105" spans="1:10" x14ac:dyDescent="0.25">
      <c r="A105" s="177" t="s">
        <v>211</v>
      </c>
      <c r="B105" s="179">
        <v>0.09</v>
      </c>
      <c r="C105" s="177" t="s">
        <v>175</v>
      </c>
      <c r="D105" s="177"/>
      <c r="E105" s="3" t="s">
        <v>90</v>
      </c>
      <c r="F105" s="177"/>
      <c r="G105" s="177"/>
      <c r="H105" s="177"/>
      <c r="I105" s="177"/>
      <c r="J105" s="177"/>
    </row>
    <row r="106" spans="1:10" x14ac:dyDescent="0.25">
      <c r="A106" s="177" t="s">
        <v>212</v>
      </c>
      <c r="B106" s="179">
        <v>0.12</v>
      </c>
      <c r="C106" s="177" t="s">
        <v>175</v>
      </c>
      <c r="D106" s="177"/>
      <c r="E106" s="3" t="s">
        <v>90</v>
      </c>
      <c r="F106" s="177"/>
      <c r="G106" s="177"/>
      <c r="H106" s="177"/>
      <c r="I106" s="177"/>
      <c r="J106" s="177"/>
    </row>
    <row r="107" spans="1:10" x14ac:dyDescent="0.25">
      <c r="A107" s="177" t="s">
        <v>213</v>
      </c>
      <c r="B107" s="586">
        <v>0.12</v>
      </c>
      <c r="C107" s="585" t="s">
        <v>175</v>
      </c>
      <c r="D107" s="585"/>
      <c r="E107" s="587" t="s">
        <v>90</v>
      </c>
      <c r="F107" s="585"/>
      <c r="G107" s="585"/>
      <c r="H107" s="585"/>
      <c r="I107" s="585"/>
      <c r="J107" s="585"/>
    </row>
    <row r="108" spans="1:10" x14ac:dyDescent="0.25">
      <c r="A108" s="177" t="s">
        <v>182</v>
      </c>
      <c r="B108" s="586"/>
      <c r="C108" s="585"/>
      <c r="D108" s="585"/>
      <c r="E108" s="587"/>
      <c r="F108" s="585"/>
      <c r="G108" s="585"/>
      <c r="H108" s="585"/>
      <c r="I108" s="585"/>
      <c r="J108" s="585"/>
    </row>
    <row r="109" spans="1:10" x14ac:dyDescent="0.25">
      <c r="A109" s="177" t="s">
        <v>214</v>
      </c>
      <c r="B109" s="586">
        <v>0.1</v>
      </c>
      <c r="C109" s="585" t="s">
        <v>175</v>
      </c>
      <c r="D109" s="585"/>
      <c r="E109" s="587" t="s">
        <v>90</v>
      </c>
      <c r="F109" s="585"/>
      <c r="G109" s="585"/>
      <c r="H109" s="585"/>
      <c r="I109" s="585"/>
      <c r="J109" s="585"/>
    </row>
    <row r="110" spans="1:10" x14ac:dyDescent="0.25">
      <c r="A110" s="177" t="s">
        <v>184</v>
      </c>
      <c r="B110" s="586"/>
      <c r="C110" s="585"/>
      <c r="D110" s="585"/>
      <c r="E110" s="587"/>
      <c r="F110" s="585"/>
      <c r="G110" s="585"/>
      <c r="H110" s="585"/>
      <c r="I110" s="585"/>
      <c r="J110" s="585"/>
    </row>
    <row r="111" spans="1:10" x14ac:dyDescent="0.25">
      <c r="A111" s="177" t="s">
        <v>215</v>
      </c>
      <c r="B111" s="179">
        <v>0.06</v>
      </c>
      <c r="C111" s="177" t="s">
        <v>175</v>
      </c>
      <c r="D111" s="177"/>
      <c r="E111" s="3" t="s">
        <v>90</v>
      </c>
      <c r="F111" s="177"/>
      <c r="G111" s="177"/>
      <c r="H111" s="177"/>
      <c r="I111" s="177"/>
      <c r="J111" s="177"/>
    </row>
    <row r="112" spans="1:10" x14ac:dyDescent="0.25">
      <c r="A112" s="177" t="s">
        <v>216</v>
      </c>
      <c r="B112" s="179">
        <v>0.17</v>
      </c>
      <c r="C112" s="177" t="s">
        <v>175</v>
      </c>
      <c r="D112" s="177"/>
      <c r="E112" s="3" t="s">
        <v>90</v>
      </c>
      <c r="F112" s="177"/>
      <c r="G112" s="177"/>
      <c r="H112" s="177"/>
      <c r="I112" s="177"/>
      <c r="J112" s="177"/>
    </row>
    <row r="113" spans="1:10" x14ac:dyDescent="0.25">
      <c r="A113" s="177" t="s">
        <v>217</v>
      </c>
      <c r="B113" s="179">
        <v>0.19</v>
      </c>
      <c r="C113" s="177" t="s">
        <v>175</v>
      </c>
      <c r="D113" s="177"/>
      <c r="E113" s="3" t="s">
        <v>90</v>
      </c>
      <c r="F113" s="177"/>
      <c r="G113" s="177"/>
      <c r="H113" s="177"/>
      <c r="I113" s="177"/>
      <c r="J113" s="177"/>
    </row>
    <row r="114" spans="1:10" x14ac:dyDescent="0.25">
      <c r="A114" s="177" t="s">
        <v>218</v>
      </c>
      <c r="B114" s="179">
        <v>7.0000000000000007E-2</v>
      </c>
      <c r="C114" s="177" t="s">
        <v>175</v>
      </c>
      <c r="D114" s="177"/>
      <c r="E114" s="3" t="s">
        <v>90</v>
      </c>
      <c r="F114" s="177"/>
      <c r="G114" s="177"/>
      <c r="H114" s="177"/>
      <c r="I114" s="177"/>
      <c r="J114" s="177"/>
    </row>
    <row r="115" spans="1:10" x14ac:dyDescent="0.25">
      <c r="A115" s="177" t="s">
        <v>219</v>
      </c>
      <c r="B115" s="179">
        <v>0.3</v>
      </c>
      <c r="C115" s="177" t="s">
        <v>175</v>
      </c>
      <c r="D115" s="177"/>
      <c r="E115" s="3" t="s">
        <v>90</v>
      </c>
      <c r="F115" s="177"/>
      <c r="G115" s="177"/>
      <c r="H115" s="177"/>
      <c r="I115" s="177"/>
      <c r="J115" s="177"/>
    </row>
    <row r="116" spans="1:10" x14ac:dyDescent="0.25">
      <c r="A116" s="177" t="s">
        <v>220</v>
      </c>
      <c r="B116" s="179">
        <v>0.59</v>
      </c>
      <c r="C116" s="177" t="s">
        <v>175</v>
      </c>
      <c r="D116" s="177"/>
      <c r="E116" s="3" t="s">
        <v>90</v>
      </c>
      <c r="F116" s="177"/>
      <c r="G116" s="177"/>
      <c r="H116" s="177"/>
      <c r="I116" s="177"/>
      <c r="J116" s="177"/>
    </row>
    <row r="117" spans="1:10" x14ac:dyDescent="0.25">
      <c r="A117" s="198" t="s">
        <v>221</v>
      </c>
      <c r="B117" s="179">
        <v>0.06</v>
      </c>
      <c r="C117" s="177" t="s">
        <v>175</v>
      </c>
      <c r="D117" s="177"/>
      <c r="E117" s="3" t="s">
        <v>90</v>
      </c>
      <c r="F117" s="177"/>
      <c r="G117" s="177"/>
      <c r="H117" s="177"/>
      <c r="I117" s="177"/>
      <c r="J117" s="177"/>
    </row>
    <row r="118" spans="1:10" x14ac:dyDescent="0.25">
      <c r="A118" s="177" t="s">
        <v>222</v>
      </c>
      <c r="B118" s="179">
        <v>0.45</v>
      </c>
      <c r="C118" s="177" t="s">
        <v>175</v>
      </c>
      <c r="D118" s="177"/>
      <c r="E118" s="3" t="s">
        <v>90</v>
      </c>
      <c r="F118" s="177"/>
      <c r="G118" s="177"/>
      <c r="H118" s="177"/>
      <c r="I118" s="177"/>
      <c r="J118" s="177"/>
    </row>
    <row r="119" spans="1:10" x14ac:dyDescent="0.25">
      <c r="A119" s="177" t="s">
        <v>223</v>
      </c>
      <c r="B119" s="179">
        <v>0.09</v>
      </c>
      <c r="C119" s="177" t="s">
        <v>175</v>
      </c>
      <c r="D119" s="177"/>
      <c r="E119" s="3" t="s">
        <v>90</v>
      </c>
      <c r="F119" s="177"/>
      <c r="G119" s="177"/>
      <c r="H119" s="177"/>
      <c r="I119" s="177"/>
      <c r="J119" s="177"/>
    </row>
    <row r="120" spans="1:10" x14ac:dyDescent="0.25">
      <c r="A120" s="177" t="s">
        <v>224</v>
      </c>
      <c r="B120" s="179">
        <v>0.11</v>
      </c>
      <c r="C120" s="177" t="s">
        <v>175</v>
      </c>
      <c r="D120" s="177"/>
      <c r="E120" s="3" t="s">
        <v>90</v>
      </c>
      <c r="F120" s="177"/>
      <c r="G120" s="177"/>
      <c r="H120" s="177"/>
      <c r="I120" s="177"/>
      <c r="J120" s="177"/>
    </row>
    <row r="121" spans="1:10" x14ac:dyDescent="0.25">
      <c r="A121" s="177" t="s">
        <v>225</v>
      </c>
      <c r="B121" s="179">
        <v>7.0000000000000007E-2</v>
      </c>
      <c r="C121" s="177" t="s">
        <v>175</v>
      </c>
      <c r="D121" s="177"/>
      <c r="E121" s="3" t="s">
        <v>90</v>
      </c>
      <c r="F121" s="177"/>
      <c r="G121" s="177"/>
      <c r="H121" s="177"/>
      <c r="I121" s="177"/>
      <c r="J121" s="177"/>
    </row>
    <row r="122" spans="1:10" x14ac:dyDescent="0.25">
      <c r="A122" s="177" t="s">
        <v>226</v>
      </c>
      <c r="B122" s="179">
        <v>0.04</v>
      </c>
      <c r="C122" s="177" t="s">
        <v>175</v>
      </c>
      <c r="D122" s="177"/>
      <c r="E122" s="3" t="s">
        <v>90</v>
      </c>
      <c r="F122" s="177"/>
      <c r="G122" s="177"/>
      <c r="H122" s="177"/>
      <c r="I122" s="177"/>
      <c r="J122" s="177"/>
    </row>
    <row r="123" spans="1:10" x14ac:dyDescent="0.25">
      <c r="A123" s="177" t="s">
        <v>227</v>
      </c>
      <c r="B123" s="179">
        <v>0.09</v>
      </c>
      <c r="C123" s="177" t="s">
        <v>175</v>
      </c>
      <c r="D123" s="177"/>
      <c r="E123" s="3" t="s">
        <v>90</v>
      </c>
      <c r="F123" s="177"/>
      <c r="G123" s="177"/>
      <c r="H123" s="177"/>
      <c r="I123" s="177"/>
      <c r="J123" s="177"/>
    </row>
    <row r="124" spans="1:10" x14ac:dyDescent="0.25">
      <c r="A124" s="177" t="s">
        <v>228</v>
      </c>
      <c r="B124" s="179">
        <v>0.05</v>
      </c>
      <c r="C124" s="177" t="s">
        <v>175</v>
      </c>
      <c r="D124" s="177"/>
      <c r="E124" s="3" t="s">
        <v>90</v>
      </c>
      <c r="F124" s="177"/>
      <c r="G124" s="177"/>
      <c r="H124" s="177"/>
      <c r="I124" s="177"/>
      <c r="J124" s="177"/>
    </row>
    <row r="125" spans="1:10" x14ac:dyDescent="0.25">
      <c r="A125" s="177" t="s">
        <v>229</v>
      </c>
      <c r="B125" s="179">
        <v>0.19</v>
      </c>
      <c r="C125" s="177" t="s">
        <v>175</v>
      </c>
      <c r="D125" s="177"/>
      <c r="E125" s="3" t="s">
        <v>90</v>
      </c>
      <c r="F125" s="177"/>
      <c r="G125" s="177"/>
      <c r="H125" s="177"/>
      <c r="I125" s="177"/>
      <c r="J125" s="177"/>
    </row>
    <row r="126" spans="1:10" x14ac:dyDescent="0.25">
      <c r="A126" s="177" t="s">
        <v>230</v>
      </c>
      <c r="B126" s="586">
        <v>0.2</v>
      </c>
      <c r="C126" s="585" t="s">
        <v>175</v>
      </c>
      <c r="D126" s="585"/>
      <c r="E126" s="587" t="s">
        <v>90</v>
      </c>
      <c r="F126" s="585"/>
      <c r="G126" s="585"/>
      <c r="H126" s="585"/>
      <c r="I126" s="585"/>
      <c r="J126" s="585"/>
    </row>
    <row r="127" spans="1:10" x14ac:dyDescent="0.25">
      <c r="A127" s="177" t="s">
        <v>231</v>
      </c>
      <c r="B127" s="586"/>
      <c r="C127" s="585"/>
      <c r="D127" s="585"/>
      <c r="E127" s="587"/>
      <c r="F127" s="585"/>
      <c r="G127" s="585"/>
      <c r="H127" s="585"/>
      <c r="I127" s="585"/>
      <c r="J127" s="585"/>
    </row>
    <row r="128" spans="1:10" x14ac:dyDescent="0.25">
      <c r="A128" s="177" t="s">
        <v>232</v>
      </c>
      <c r="B128" s="179">
        <v>0.12</v>
      </c>
      <c r="C128" s="177" t="s">
        <v>175</v>
      </c>
      <c r="D128" s="177"/>
      <c r="E128" s="3" t="s">
        <v>90</v>
      </c>
      <c r="F128" s="177"/>
      <c r="G128" s="177"/>
      <c r="H128" s="177"/>
      <c r="I128" s="177"/>
      <c r="J128" s="177"/>
    </row>
    <row r="129" spans="1:10" x14ac:dyDescent="0.25">
      <c r="A129" s="177" t="s">
        <v>233</v>
      </c>
      <c r="B129" s="179">
        <v>0.08</v>
      </c>
      <c r="C129" s="177" t="s">
        <v>175</v>
      </c>
      <c r="D129" s="177"/>
      <c r="E129" s="3" t="s">
        <v>90</v>
      </c>
      <c r="F129" s="177"/>
      <c r="G129" s="177"/>
      <c r="H129" s="177"/>
      <c r="I129" s="177"/>
      <c r="J129" s="177"/>
    </row>
    <row r="130" spans="1:10" x14ac:dyDescent="0.25">
      <c r="A130" s="177" t="s">
        <v>234</v>
      </c>
      <c r="B130" s="179">
        <v>0.36</v>
      </c>
      <c r="C130" s="177" t="s">
        <v>175</v>
      </c>
      <c r="D130" s="177"/>
      <c r="E130" s="3" t="s">
        <v>90</v>
      </c>
      <c r="F130" s="177"/>
      <c r="G130" s="177"/>
      <c r="H130" s="177"/>
      <c r="I130" s="177"/>
      <c r="J130" s="177"/>
    </row>
    <row r="131" spans="1:10" x14ac:dyDescent="0.25">
      <c r="A131" s="177" t="s">
        <v>235</v>
      </c>
      <c r="B131" s="179">
        <v>0.21</v>
      </c>
      <c r="C131" s="177" t="s">
        <v>175</v>
      </c>
      <c r="D131" s="177"/>
      <c r="E131" s="3" t="s">
        <v>90</v>
      </c>
      <c r="F131" s="177"/>
      <c r="G131" s="177"/>
      <c r="H131" s="177"/>
      <c r="I131" s="177"/>
      <c r="J131" s="177"/>
    </row>
    <row r="132" spans="1:10" x14ac:dyDescent="0.25">
      <c r="A132" s="177" t="s">
        <v>236</v>
      </c>
      <c r="B132" s="179">
        <v>0.3</v>
      </c>
      <c r="C132" s="177" t="s">
        <v>175</v>
      </c>
      <c r="D132" s="177"/>
      <c r="E132" s="3" t="s">
        <v>90</v>
      </c>
      <c r="F132" s="177"/>
      <c r="G132" s="177"/>
      <c r="H132" s="177"/>
      <c r="I132" s="177"/>
      <c r="J132" s="177"/>
    </row>
    <row r="133" spans="1:10" x14ac:dyDescent="0.25">
      <c r="A133" s="177" t="s">
        <v>237</v>
      </c>
      <c r="B133" s="179">
        <v>0.04</v>
      </c>
      <c r="C133" s="177" t="s">
        <v>175</v>
      </c>
      <c r="D133" s="177"/>
      <c r="E133" s="3" t="s">
        <v>90</v>
      </c>
      <c r="F133" s="177"/>
      <c r="G133" s="177"/>
      <c r="H133" s="177"/>
      <c r="I133" s="177"/>
      <c r="J133" s="177"/>
    </row>
    <row r="134" spans="1:10" x14ac:dyDescent="0.25">
      <c r="A134" s="177" t="s">
        <v>238</v>
      </c>
      <c r="B134" s="586">
        <v>0.2</v>
      </c>
      <c r="C134" s="585" t="s">
        <v>175</v>
      </c>
      <c r="D134" s="585"/>
      <c r="E134" s="587" t="s">
        <v>90</v>
      </c>
      <c r="F134" s="585"/>
      <c r="G134" s="585"/>
      <c r="H134" s="585"/>
      <c r="I134" s="585"/>
      <c r="J134" s="585"/>
    </row>
    <row r="135" spans="1:10" x14ac:dyDescent="0.25">
      <c r="A135" s="177" t="s">
        <v>231</v>
      </c>
      <c r="B135" s="586"/>
      <c r="C135" s="585"/>
      <c r="D135" s="585"/>
      <c r="E135" s="587"/>
      <c r="F135" s="585"/>
      <c r="G135" s="585"/>
      <c r="H135" s="585"/>
      <c r="I135" s="585"/>
      <c r="J135" s="585"/>
    </row>
    <row r="136" spans="1:10" x14ac:dyDescent="0.25">
      <c r="A136" s="177" t="s">
        <v>239</v>
      </c>
      <c r="B136" s="179">
        <v>0.12</v>
      </c>
      <c r="C136" s="177" t="s">
        <v>175</v>
      </c>
      <c r="D136" s="177"/>
      <c r="E136" s="3" t="s">
        <v>90</v>
      </c>
      <c r="F136" s="177"/>
      <c r="G136" s="177"/>
      <c r="H136" s="177"/>
      <c r="I136" s="177"/>
      <c r="J136" s="177"/>
    </row>
    <row r="137" spans="1:10" x14ac:dyDescent="0.25">
      <c r="A137" s="177" t="s">
        <v>240</v>
      </c>
      <c r="B137" s="179">
        <v>0.08</v>
      </c>
      <c r="C137" s="177" t="s">
        <v>175</v>
      </c>
      <c r="D137" s="177"/>
      <c r="E137" s="3" t="s">
        <v>90</v>
      </c>
      <c r="F137" s="177"/>
      <c r="G137" s="177"/>
      <c r="H137" s="177"/>
      <c r="I137" s="177"/>
      <c r="J137" s="177"/>
    </row>
    <row r="138" spans="1:10" x14ac:dyDescent="0.25">
      <c r="A138" s="177" t="s">
        <v>241</v>
      </c>
      <c r="B138" s="179">
        <v>0.36</v>
      </c>
      <c r="C138" s="177" t="s">
        <v>175</v>
      </c>
      <c r="D138" s="177"/>
      <c r="E138" s="3" t="s">
        <v>90</v>
      </c>
      <c r="F138" s="177"/>
      <c r="G138" s="177"/>
      <c r="H138" s="177"/>
      <c r="I138" s="177"/>
      <c r="J138" s="177"/>
    </row>
    <row r="139" spans="1:10" x14ac:dyDescent="0.25">
      <c r="A139" s="177" t="s">
        <v>242</v>
      </c>
      <c r="B139" s="179">
        <v>0.21</v>
      </c>
      <c r="C139" s="177" t="s">
        <v>175</v>
      </c>
      <c r="D139" s="177"/>
      <c r="E139" s="3" t="s">
        <v>90</v>
      </c>
      <c r="F139" s="177"/>
      <c r="G139" s="177"/>
      <c r="H139" s="177"/>
      <c r="I139" s="177"/>
      <c r="J139" s="177"/>
    </row>
    <row r="140" spans="1:10" x14ac:dyDescent="0.25">
      <c r="A140" s="177" t="s">
        <v>243</v>
      </c>
      <c r="B140" s="179">
        <v>0.12</v>
      </c>
      <c r="C140" s="177" t="s">
        <v>175</v>
      </c>
      <c r="D140" s="177"/>
      <c r="E140" s="3" t="s">
        <v>90</v>
      </c>
      <c r="F140" s="177"/>
      <c r="G140" s="177"/>
      <c r="H140" s="177"/>
      <c r="I140" s="177"/>
      <c r="J140" s="177"/>
    </row>
    <row r="141" spans="1:10" x14ac:dyDescent="0.25">
      <c r="A141" s="177" t="s">
        <v>244</v>
      </c>
      <c r="B141" s="179">
        <v>0.04</v>
      </c>
      <c r="C141" s="177" t="s">
        <v>175</v>
      </c>
      <c r="D141" s="177"/>
      <c r="E141" s="3" t="s">
        <v>90</v>
      </c>
      <c r="F141" s="177"/>
      <c r="G141" s="177"/>
      <c r="H141" s="177"/>
      <c r="I141" s="177"/>
      <c r="J141" s="177"/>
    </row>
    <row r="142" spans="1:10" x14ac:dyDescent="0.25">
      <c r="A142" s="177" t="s">
        <v>245</v>
      </c>
      <c r="B142" s="586">
        <v>0.21</v>
      </c>
      <c r="C142" s="585" t="s">
        <v>175</v>
      </c>
      <c r="D142" s="585"/>
      <c r="E142" s="587" t="s">
        <v>90</v>
      </c>
      <c r="F142" s="585"/>
      <c r="G142" s="585"/>
      <c r="H142" s="585"/>
      <c r="I142" s="585"/>
      <c r="J142" s="585"/>
    </row>
    <row r="143" spans="1:10" x14ac:dyDescent="0.25">
      <c r="A143" s="177" t="s">
        <v>231</v>
      </c>
      <c r="B143" s="586"/>
      <c r="C143" s="585"/>
      <c r="D143" s="585"/>
      <c r="E143" s="587"/>
      <c r="F143" s="585"/>
      <c r="G143" s="585"/>
      <c r="H143" s="585"/>
      <c r="I143" s="585"/>
      <c r="J143" s="585"/>
    </row>
    <row r="144" spans="1:10" x14ac:dyDescent="0.25">
      <c r="A144" s="177" t="s">
        <v>246</v>
      </c>
      <c r="B144" s="179">
        <v>0.28999999999999998</v>
      </c>
      <c r="C144" s="177" t="s">
        <v>175</v>
      </c>
      <c r="D144" s="177"/>
      <c r="E144" s="3" t="s">
        <v>90</v>
      </c>
      <c r="F144" s="177"/>
      <c r="G144" s="177"/>
      <c r="H144" s="177"/>
      <c r="I144" s="177"/>
      <c r="J144" s="177"/>
    </row>
    <row r="145" spans="1:10" x14ac:dyDescent="0.25">
      <c r="A145" s="177" t="s">
        <v>247</v>
      </c>
      <c r="B145" s="179">
        <v>0.08</v>
      </c>
      <c r="C145" s="177" t="s">
        <v>175</v>
      </c>
      <c r="D145" s="177"/>
      <c r="E145" s="3" t="s">
        <v>90</v>
      </c>
      <c r="F145" s="177"/>
      <c r="G145" s="177"/>
      <c r="H145" s="177"/>
      <c r="I145" s="177"/>
      <c r="J145" s="177"/>
    </row>
    <row r="146" spans="1:10" x14ac:dyDescent="0.25">
      <c r="A146" s="177" t="s">
        <v>248</v>
      </c>
      <c r="B146" s="179">
        <v>0.37</v>
      </c>
      <c r="C146" s="177" t="s">
        <v>175</v>
      </c>
      <c r="D146" s="177"/>
      <c r="E146" s="3" t="s">
        <v>90</v>
      </c>
      <c r="F146" s="177"/>
      <c r="G146" s="177"/>
      <c r="H146" s="177"/>
      <c r="I146" s="177"/>
      <c r="J146" s="177"/>
    </row>
    <row r="147" spans="1:10" x14ac:dyDescent="0.25">
      <c r="A147" s="177" t="s">
        <v>249</v>
      </c>
      <c r="B147" s="179">
        <v>0.59</v>
      </c>
      <c r="C147" s="177" t="s">
        <v>175</v>
      </c>
      <c r="D147" s="177"/>
      <c r="E147" s="3" t="s">
        <v>90</v>
      </c>
      <c r="F147" s="177"/>
      <c r="G147" s="177"/>
      <c r="H147" s="177"/>
      <c r="I147" s="177"/>
      <c r="J147" s="177"/>
    </row>
    <row r="148" spans="1:10" x14ac:dyDescent="0.25">
      <c r="A148" s="177" t="s">
        <v>250</v>
      </c>
      <c r="B148" s="179">
        <v>0.45</v>
      </c>
      <c r="C148" s="177" t="s">
        <v>175</v>
      </c>
      <c r="D148" s="177"/>
      <c r="E148" s="3" t="s">
        <v>90</v>
      </c>
      <c r="F148" s="177"/>
      <c r="G148" s="177"/>
      <c r="H148" s="177"/>
      <c r="I148" s="177"/>
      <c r="J148" s="177"/>
    </row>
    <row r="149" spans="1:10" x14ac:dyDescent="0.25">
      <c r="A149" s="177" t="s">
        <v>251</v>
      </c>
      <c r="B149" s="179">
        <v>0.04</v>
      </c>
      <c r="C149" s="177" t="s">
        <v>175</v>
      </c>
      <c r="D149" s="177"/>
      <c r="E149" s="3" t="s">
        <v>90</v>
      </c>
      <c r="F149" s="177"/>
      <c r="G149" s="177"/>
      <c r="H149" s="177"/>
      <c r="I149" s="177"/>
      <c r="J149" s="177"/>
    </row>
    <row r="150" spans="1:10" x14ac:dyDescent="0.25">
      <c r="A150" s="177" t="s">
        <v>252</v>
      </c>
      <c r="B150" s="179">
        <v>0.03</v>
      </c>
      <c r="C150" s="177" t="s">
        <v>175</v>
      </c>
      <c r="D150" s="177"/>
      <c r="E150" s="3" t="s">
        <v>90</v>
      </c>
      <c r="F150" s="177"/>
      <c r="G150" s="177"/>
      <c r="H150" s="177"/>
      <c r="I150" s="177"/>
      <c r="J150" s="177"/>
    </row>
    <row r="151" spans="1:10" x14ac:dyDescent="0.25">
      <c r="A151" s="177" t="s">
        <v>253</v>
      </c>
      <c r="B151" s="179">
        <v>0.18</v>
      </c>
      <c r="C151" s="177" t="s">
        <v>175</v>
      </c>
      <c r="D151" s="177"/>
      <c r="E151" s="3" t="s">
        <v>90</v>
      </c>
      <c r="F151" s="177"/>
      <c r="G151" s="177"/>
      <c r="H151" s="177"/>
      <c r="I151" s="177"/>
      <c r="J151" s="177"/>
    </row>
    <row r="152" spans="1:10" x14ac:dyDescent="0.25">
      <c r="A152" s="177"/>
      <c r="B152" s="177"/>
      <c r="C152" s="177"/>
      <c r="D152" s="177"/>
      <c r="E152" s="176"/>
      <c r="F152" s="177"/>
      <c r="G152" s="177"/>
      <c r="H152" s="177"/>
      <c r="I152" s="177"/>
      <c r="J152" s="177"/>
    </row>
    <row r="153" spans="1:10" x14ac:dyDescent="0.25">
      <c r="A153" s="177" t="s">
        <v>254</v>
      </c>
      <c r="B153" s="179">
        <v>0.124</v>
      </c>
      <c r="C153" s="177" t="s">
        <v>255</v>
      </c>
      <c r="D153" s="177"/>
      <c r="E153" s="176"/>
      <c r="F153" s="177"/>
      <c r="G153" s="177"/>
      <c r="H153" s="177"/>
      <c r="I153" s="177"/>
      <c r="J153" s="177"/>
    </row>
    <row r="154" spans="1:10" x14ac:dyDescent="0.25">
      <c r="A154" s="177" t="s">
        <v>256</v>
      </c>
      <c r="B154" s="179">
        <v>2.5999999999999999E-2</v>
      </c>
      <c r="C154" s="177" t="s">
        <v>255</v>
      </c>
      <c r="D154" s="177"/>
      <c r="E154" s="176"/>
      <c r="F154" s="177"/>
      <c r="G154" s="177"/>
      <c r="H154" s="177"/>
      <c r="I154" s="177"/>
      <c r="J154" s="177"/>
    </row>
    <row r="155" spans="1:10" x14ac:dyDescent="0.25">
      <c r="A155" s="177" t="s">
        <v>257</v>
      </c>
      <c r="B155" s="179">
        <v>0.104</v>
      </c>
      <c r="C155" s="177" t="s">
        <v>255</v>
      </c>
      <c r="D155" s="177"/>
      <c r="E155" s="176"/>
      <c r="F155" s="177"/>
      <c r="G155" s="177"/>
      <c r="H155" s="177"/>
      <c r="I155" s="177"/>
      <c r="J155" s="177"/>
    </row>
    <row r="156" spans="1:10" x14ac:dyDescent="0.25">
      <c r="A156" s="198" t="s">
        <v>258</v>
      </c>
      <c r="B156" s="179">
        <v>0.31</v>
      </c>
      <c r="C156" s="177" t="s">
        <v>255</v>
      </c>
      <c r="D156" s="177"/>
      <c r="E156" s="176"/>
      <c r="F156" s="177"/>
      <c r="G156" s="177"/>
      <c r="H156" s="177"/>
      <c r="I156" s="177"/>
      <c r="J156" s="177"/>
    </row>
    <row r="157" spans="1:10" x14ac:dyDescent="0.25">
      <c r="A157" s="177" t="s">
        <v>259</v>
      </c>
      <c r="B157" s="179">
        <v>6.7000000000000004E-2</v>
      </c>
      <c r="C157" s="177" t="s">
        <v>255</v>
      </c>
      <c r="D157" s="177"/>
      <c r="E157" s="176"/>
      <c r="F157" s="177"/>
      <c r="G157" s="177"/>
      <c r="H157" s="177"/>
      <c r="I157" s="177"/>
      <c r="J157" s="177"/>
    </row>
    <row r="158" spans="1:10" x14ac:dyDescent="0.25">
      <c r="A158" s="177" t="s">
        <v>260</v>
      </c>
      <c r="B158" s="179">
        <v>0.21199999999999999</v>
      </c>
      <c r="C158" s="177" t="s">
        <v>255</v>
      </c>
      <c r="D158" s="177"/>
      <c r="E158" s="176"/>
      <c r="F158" s="177"/>
      <c r="G158" s="177"/>
      <c r="H158" s="177"/>
      <c r="I158" s="177"/>
      <c r="J158" s="177"/>
    </row>
    <row r="159" spans="1:10" x14ac:dyDescent="0.25">
      <c r="A159" s="198" t="s">
        <v>261</v>
      </c>
      <c r="B159" s="179">
        <v>0.13800000000000001</v>
      </c>
      <c r="C159" s="177" t="s">
        <v>255</v>
      </c>
      <c r="D159" s="177"/>
      <c r="E159" s="176"/>
      <c r="F159" s="177"/>
      <c r="G159" s="177"/>
      <c r="H159" s="177"/>
      <c r="I159" s="177"/>
      <c r="J159" s="177"/>
    </row>
    <row r="160" spans="1:10" x14ac:dyDescent="0.25">
      <c r="A160" s="177" t="s">
        <v>262</v>
      </c>
      <c r="B160" s="179">
        <v>3.3000000000000002E-2</v>
      </c>
      <c r="C160" s="177" t="s">
        <v>255</v>
      </c>
      <c r="D160" s="177"/>
      <c r="E160" s="176"/>
      <c r="F160" s="177"/>
      <c r="G160" s="177"/>
      <c r="H160" s="177"/>
      <c r="I160" s="177"/>
      <c r="J160" s="177"/>
    </row>
    <row r="161" spans="1:10" x14ac:dyDescent="0.25">
      <c r="A161" s="177" t="s">
        <v>263</v>
      </c>
      <c r="B161" s="179">
        <v>0.115</v>
      </c>
      <c r="C161" s="177" t="s">
        <v>255</v>
      </c>
      <c r="D161" s="177"/>
      <c r="E161" s="176"/>
      <c r="F161" s="177"/>
      <c r="G161" s="177"/>
      <c r="H161" s="177"/>
      <c r="I161" s="177"/>
      <c r="J161" s="177"/>
    </row>
    <row r="162" spans="1:10" x14ac:dyDescent="0.25">
      <c r="A162" s="177" t="s">
        <v>264</v>
      </c>
      <c r="B162" s="179">
        <v>1.6999999999999999E-3</v>
      </c>
      <c r="C162" s="177" t="s">
        <v>255</v>
      </c>
      <c r="D162" s="177"/>
      <c r="E162" s="176"/>
      <c r="F162" s="177"/>
      <c r="G162" s="177"/>
      <c r="H162" s="177"/>
      <c r="I162" s="177"/>
      <c r="J162" s="177"/>
    </row>
    <row r="163" spans="1:10" x14ac:dyDescent="0.25">
      <c r="A163" s="177" t="s">
        <v>265</v>
      </c>
      <c r="B163" s="179">
        <v>2.0000000000000001E-4</v>
      </c>
      <c r="C163" s="177" t="s">
        <v>255</v>
      </c>
      <c r="D163" s="177"/>
      <c r="E163" s="176"/>
      <c r="F163" s="177"/>
      <c r="G163" s="177"/>
      <c r="H163" s="177"/>
      <c r="I163" s="177"/>
      <c r="J163" s="177"/>
    </row>
    <row r="164" spans="1:10" x14ac:dyDescent="0.25">
      <c r="A164" s="177" t="s">
        <v>266</v>
      </c>
      <c r="B164" s="179">
        <v>1E-3</v>
      </c>
      <c r="C164" s="177" t="s">
        <v>255</v>
      </c>
      <c r="D164" s="177"/>
      <c r="E164" s="176"/>
      <c r="F164" s="177"/>
      <c r="G164" s="177"/>
      <c r="H164" s="177"/>
      <c r="I164" s="177"/>
      <c r="J164" s="177"/>
    </row>
    <row r="165" spans="1:10" x14ac:dyDescent="0.25">
      <c r="A165" s="198" t="s">
        <v>267</v>
      </c>
      <c r="B165" s="179">
        <v>3.9300000000000002E-2</v>
      </c>
      <c r="C165" s="177" t="s">
        <v>255</v>
      </c>
      <c r="D165" s="177"/>
      <c r="E165" s="176"/>
      <c r="F165" s="177"/>
      <c r="G165" s="177"/>
      <c r="H165" s="177"/>
      <c r="I165" s="177"/>
      <c r="J165" s="177"/>
    </row>
    <row r="166" spans="1:10" x14ac:dyDescent="0.25">
      <c r="A166" s="177" t="s">
        <v>268</v>
      </c>
      <c r="B166" s="179">
        <v>3.3E-3</v>
      </c>
      <c r="C166" s="177" t="s">
        <v>255</v>
      </c>
      <c r="D166" s="177"/>
      <c r="E166" s="176"/>
      <c r="F166" s="177"/>
      <c r="G166" s="177"/>
      <c r="H166" s="177"/>
      <c r="I166" s="177"/>
      <c r="J166" s="177"/>
    </row>
    <row r="167" spans="1:10" x14ac:dyDescent="0.25">
      <c r="A167" s="177" t="s">
        <v>269</v>
      </c>
      <c r="B167" s="179">
        <v>1.9699999999999999E-2</v>
      </c>
      <c r="C167" s="177" t="s">
        <v>255</v>
      </c>
      <c r="D167" s="177"/>
      <c r="E167" s="176"/>
      <c r="F167" s="177"/>
      <c r="G167" s="177"/>
      <c r="H167" s="177"/>
      <c r="I167" s="177"/>
      <c r="J167" s="177"/>
    </row>
    <row r="168" spans="1:10" x14ac:dyDescent="0.25">
      <c r="A168" s="198" t="s">
        <v>270</v>
      </c>
      <c r="B168" s="179">
        <v>4.5999999999999999E-3</v>
      </c>
      <c r="C168" s="177" t="s">
        <v>255</v>
      </c>
      <c r="D168" s="177"/>
      <c r="E168" s="176"/>
      <c r="F168" s="177"/>
      <c r="G168" s="177"/>
      <c r="H168" s="177"/>
      <c r="I168" s="177"/>
      <c r="J168" s="177"/>
    </row>
    <row r="169" spans="1:10" x14ac:dyDescent="0.25">
      <c r="A169" s="177" t="s">
        <v>271</v>
      </c>
      <c r="B169" s="179">
        <v>5.9999999999999995E-4</v>
      </c>
      <c r="C169" s="177" t="s">
        <v>255</v>
      </c>
      <c r="D169" s="177"/>
      <c r="E169" s="176"/>
      <c r="F169" s="177"/>
      <c r="G169" s="177"/>
      <c r="H169" s="177"/>
      <c r="I169" s="177"/>
      <c r="J169" s="177"/>
    </row>
    <row r="170" spans="1:10" x14ac:dyDescent="0.25">
      <c r="A170" s="177" t="s">
        <v>272</v>
      </c>
      <c r="B170" s="179">
        <v>2.8E-3</v>
      </c>
      <c r="C170" s="177" t="s">
        <v>255</v>
      </c>
      <c r="D170" s="177"/>
      <c r="E170" s="176"/>
      <c r="F170" s="177"/>
      <c r="G170" s="177"/>
      <c r="H170" s="177"/>
      <c r="I170" s="177"/>
      <c r="J170" s="177"/>
    </row>
    <row r="171" spans="1:10" x14ac:dyDescent="0.25">
      <c r="A171" s="177"/>
      <c r="B171" s="177"/>
      <c r="C171" s="177"/>
      <c r="D171" s="177"/>
      <c r="E171" s="176"/>
      <c r="F171" s="177"/>
      <c r="G171" s="177"/>
      <c r="H171" s="177"/>
      <c r="I171" s="177"/>
      <c r="J171" s="177"/>
    </row>
    <row r="172" spans="1:10" x14ac:dyDescent="0.25">
      <c r="A172" s="198" t="s">
        <v>273</v>
      </c>
      <c r="B172" s="177">
        <v>9.7000000000000003E-2</v>
      </c>
      <c r="C172" s="177" t="s">
        <v>274</v>
      </c>
      <c r="D172" s="177"/>
      <c r="E172" s="177"/>
      <c r="F172" s="177"/>
      <c r="G172" s="177"/>
      <c r="H172" s="177"/>
      <c r="I172" s="177"/>
      <c r="J172" s="177"/>
    </row>
    <row r="173" spans="1:10" x14ac:dyDescent="0.25">
      <c r="A173" s="177" t="s">
        <v>275</v>
      </c>
      <c r="B173" s="177">
        <v>3.0259999999999998</v>
      </c>
      <c r="C173" s="177" t="s">
        <v>274</v>
      </c>
      <c r="D173" s="177"/>
      <c r="E173" s="177"/>
      <c r="F173" s="177"/>
      <c r="G173" s="177"/>
      <c r="H173" s="177"/>
      <c r="I173" s="177"/>
      <c r="J173" s="177"/>
    </row>
    <row r="174" spans="1:10" x14ac:dyDescent="0.25">
      <c r="A174" s="198" t="s">
        <v>276</v>
      </c>
      <c r="B174" s="177">
        <v>4.1999999999999997E-3</v>
      </c>
      <c r="C174" s="177" t="s">
        <v>274</v>
      </c>
      <c r="D174" s="177"/>
      <c r="E174" s="177"/>
      <c r="F174" s="177"/>
      <c r="G174" s="177"/>
      <c r="H174" s="177"/>
      <c r="I174" s="177"/>
      <c r="J174" s="177"/>
    </row>
    <row r="175" spans="1:10" x14ac:dyDescent="0.25">
      <c r="A175" s="177" t="s">
        <v>277</v>
      </c>
      <c r="B175" s="177">
        <v>4.4999999999999997E-3</v>
      </c>
      <c r="C175" s="177" t="s">
        <v>274</v>
      </c>
      <c r="D175" s="177"/>
      <c r="E175" s="176"/>
      <c r="F175" s="177"/>
      <c r="G175" s="177"/>
      <c r="H175" s="177"/>
      <c r="I175" s="177"/>
      <c r="J175" s="177"/>
    </row>
    <row r="176" spans="1:10" x14ac:dyDescent="0.25">
      <c r="A176" s="198" t="s">
        <v>278</v>
      </c>
      <c r="B176" s="177">
        <v>8.0000000000000002E-3</v>
      </c>
      <c r="C176" s="177" t="s">
        <v>274</v>
      </c>
      <c r="D176" s="177"/>
      <c r="E176" s="177"/>
      <c r="F176" s="177"/>
      <c r="G176" s="177"/>
      <c r="H176" s="177"/>
      <c r="I176" s="177"/>
      <c r="J176" s="177"/>
    </row>
    <row r="177" spans="1:10" x14ac:dyDescent="0.25">
      <c r="A177" s="177" t="s">
        <v>279</v>
      </c>
      <c r="B177" s="177">
        <v>6.8000000000000005E-2</v>
      </c>
      <c r="C177" s="177" t="s">
        <v>274</v>
      </c>
      <c r="D177" s="177"/>
      <c r="E177" s="177"/>
      <c r="F177" s="177"/>
      <c r="G177" s="177"/>
      <c r="H177" s="177"/>
      <c r="I177" s="177"/>
      <c r="J177" s="177"/>
    </row>
    <row r="178" spans="1:10" x14ac:dyDescent="0.25">
      <c r="A178" s="198" t="s">
        <v>280</v>
      </c>
      <c r="B178" s="177">
        <v>411</v>
      </c>
      <c r="C178" s="177" t="s">
        <v>274</v>
      </c>
      <c r="D178" s="177"/>
      <c r="E178" s="176"/>
      <c r="F178" s="177"/>
      <c r="G178" s="177"/>
      <c r="H178" s="177"/>
      <c r="I178" s="177"/>
      <c r="J178" s="177"/>
    </row>
    <row r="179" spans="1:10" x14ac:dyDescent="0.25">
      <c r="A179" s="177" t="s">
        <v>281</v>
      </c>
      <c r="B179" s="177">
        <v>533</v>
      </c>
      <c r="C179" s="177" t="s">
        <v>274</v>
      </c>
      <c r="D179" s="177"/>
      <c r="E179" s="176"/>
      <c r="F179" s="177"/>
      <c r="G179" s="177"/>
      <c r="H179" s="177"/>
      <c r="I179" s="177"/>
      <c r="J179" s="177"/>
    </row>
    <row r="180" spans="1:10" x14ac:dyDescent="0.25">
      <c r="A180" s="177"/>
      <c r="B180" s="177"/>
      <c r="C180" s="177"/>
      <c r="D180" s="177"/>
      <c r="E180" s="177"/>
      <c r="F180" s="177"/>
      <c r="G180" s="177"/>
      <c r="H180" s="177"/>
      <c r="I180" s="177"/>
      <c r="J180" s="177"/>
    </row>
    <row r="181" spans="1:10" x14ac:dyDescent="0.25">
      <c r="A181" s="177" t="s">
        <v>282</v>
      </c>
      <c r="B181" s="197">
        <v>15600</v>
      </c>
      <c r="C181" s="177" t="s">
        <v>283</v>
      </c>
      <c r="D181" s="177"/>
      <c r="E181" s="3" t="s">
        <v>90</v>
      </c>
      <c r="F181" s="177"/>
      <c r="G181" s="177"/>
      <c r="H181" s="177"/>
      <c r="I181" s="177"/>
      <c r="J181" s="177"/>
    </row>
    <row r="182" spans="1:10" x14ac:dyDescent="0.25">
      <c r="A182" s="177" t="s">
        <v>284</v>
      </c>
      <c r="B182" s="197">
        <v>15800</v>
      </c>
      <c r="C182" s="177" t="s">
        <v>283</v>
      </c>
      <c r="D182" s="177"/>
      <c r="E182" s="3" t="s">
        <v>90</v>
      </c>
      <c r="F182" s="177"/>
      <c r="G182" s="177"/>
      <c r="H182" s="177"/>
      <c r="I182" s="177"/>
      <c r="J182" s="177"/>
    </row>
    <row r="183" spans="1:10" x14ac:dyDescent="0.25">
      <c r="A183" s="177" t="s">
        <v>285</v>
      </c>
      <c r="B183" s="197">
        <v>16000</v>
      </c>
      <c r="C183" s="177" t="s">
        <v>283</v>
      </c>
      <c r="D183" s="177"/>
      <c r="E183" s="3" t="s">
        <v>90</v>
      </c>
      <c r="F183" s="177"/>
      <c r="G183" s="177"/>
      <c r="H183" s="177"/>
      <c r="I183" s="177"/>
      <c r="J183" s="177"/>
    </row>
    <row r="184" spans="1:10" x14ac:dyDescent="0.25">
      <c r="A184" s="177" t="s">
        <v>286</v>
      </c>
      <c r="B184" s="197">
        <v>16200</v>
      </c>
      <c r="C184" s="177" t="s">
        <v>283</v>
      </c>
      <c r="D184" s="177"/>
      <c r="E184" s="3" t="s">
        <v>90</v>
      </c>
      <c r="F184" s="177"/>
      <c r="G184" s="177"/>
      <c r="H184" s="177"/>
      <c r="I184" s="177"/>
      <c r="J184" s="177"/>
    </row>
    <row r="185" spans="1:10" x14ac:dyDescent="0.25">
      <c r="A185" s="177" t="s">
        <v>287</v>
      </c>
      <c r="B185" s="197">
        <v>16500</v>
      </c>
      <c r="C185" s="177" t="s">
        <v>283</v>
      </c>
      <c r="D185" s="177"/>
      <c r="E185" s="3" t="s">
        <v>90</v>
      </c>
      <c r="F185" s="177"/>
      <c r="G185" s="177"/>
      <c r="H185" s="177"/>
      <c r="I185" s="177"/>
      <c r="J185" s="177"/>
    </row>
    <row r="186" spans="1:10" x14ac:dyDescent="0.25">
      <c r="A186" s="177" t="s">
        <v>288</v>
      </c>
      <c r="B186" s="197">
        <v>16800</v>
      </c>
      <c r="C186" s="177" t="s">
        <v>283</v>
      </c>
      <c r="D186" s="177"/>
      <c r="E186" s="3" t="s">
        <v>90</v>
      </c>
      <c r="F186" s="177"/>
      <c r="G186" s="177"/>
      <c r="H186" s="177"/>
      <c r="I186" s="177"/>
      <c r="J186" s="177"/>
    </row>
    <row r="187" spans="1:10" x14ac:dyDescent="0.25">
      <c r="A187" s="177" t="s">
        <v>289</v>
      </c>
      <c r="B187" s="197">
        <v>17100</v>
      </c>
      <c r="C187" s="177" t="s">
        <v>283</v>
      </c>
      <c r="D187" s="177"/>
      <c r="E187" s="3" t="s">
        <v>90</v>
      </c>
      <c r="F187" s="177"/>
      <c r="G187" s="177"/>
      <c r="H187" s="177"/>
      <c r="I187" s="177"/>
      <c r="J187" s="177"/>
    </row>
    <row r="188" spans="1:10" x14ac:dyDescent="0.25">
      <c r="A188" s="177" t="s">
        <v>290</v>
      </c>
      <c r="B188" s="197">
        <v>17400</v>
      </c>
      <c r="C188" s="177" t="s">
        <v>283</v>
      </c>
      <c r="D188" s="177"/>
      <c r="E188" s="3" t="s">
        <v>90</v>
      </c>
      <c r="F188" s="177"/>
      <c r="G188" s="177"/>
      <c r="H188" s="177"/>
      <c r="I188" s="177"/>
      <c r="J188" s="177"/>
    </row>
    <row r="189" spans="1:10" x14ac:dyDescent="0.25">
      <c r="A189" s="177" t="s">
        <v>291</v>
      </c>
      <c r="B189" s="197">
        <v>17700</v>
      </c>
      <c r="C189" s="177" t="s">
        <v>283</v>
      </c>
      <c r="D189" s="177"/>
      <c r="E189" s="3" t="s">
        <v>90</v>
      </c>
      <c r="F189" s="177"/>
      <c r="G189" s="177"/>
      <c r="H189" s="177"/>
      <c r="I189" s="177"/>
      <c r="J189" s="177"/>
    </row>
    <row r="190" spans="1:10" x14ac:dyDescent="0.25">
      <c r="A190" s="177" t="s">
        <v>292</v>
      </c>
      <c r="B190" s="197">
        <v>18100</v>
      </c>
      <c r="C190" s="177" t="s">
        <v>283</v>
      </c>
      <c r="D190" s="177"/>
      <c r="E190" s="3" t="s">
        <v>90</v>
      </c>
      <c r="F190" s="177"/>
      <c r="G190" s="177"/>
      <c r="H190" s="177"/>
      <c r="I190" s="177"/>
      <c r="J190" s="177"/>
    </row>
    <row r="191" spans="1:10" x14ac:dyDescent="0.25">
      <c r="A191" s="177" t="s">
        <v>293</v>
      </c>
      <c r="B191" s="197">
        <v>41500</v>
      </c>
      <c r="C191" s="177" t="s">
        <v>283</v>
      </c>
      <c r="D191" s="177"/>
      <c r="E191" s="3" t="s">
        <v>90</v>
      </c>
      <c r="F191" s="177"/>
      <c r="G191" s="177"/>
      <c r="H191" s="177"/>
      <c r="I191" s="177"/>
      <c r="J191" s="177"/>
    </row>
    <row r="192" spans="1:10" x14ac:dyDescent="0.25">
      <c r="A192" s="177" t="s">
        <v>294</v>
      </c>
      <c r="B192" s="197">
        <v>42300</v>
      </c>
      <c r="C192" s="177" t="s">
        <v>283</v>
      </c>
      <c r="D192" s="177"/>
      <c r="E192" s="3" t="s">
        <v>90</v>
      </c>
      <c r="F192" s="177"/>
      <c r="G192" s="177"/>
      <c r="H192" s="177"/>
      <c r="I192" s="177"/>
      <c r="J192" s="177"/>
    </row>
    <row r="193" spans="1:10" x14ac:dyDescent="0.25">
      <c r="A193" s="177" t="s">
        <v>295</v>
      </c>
      <c r="B193" s="197">
        <v>43100</v>
      </c>
      <c r="C193" s="177" t="s">
        <v>283</v>
      </c>
      <c r="D193" s="177"/>
      <c r="E193" s="3" t="s">
        <v>90</v>
      </c>
      <c r="F193" s="177"/>
      <c r="G193" s="177"/>
      <c r="H193" s="177"/>
      <c r="I193" s="177"/>
      <c r="J193" s="177"/>
    </row>
    <row r="194" spans="1:10" x14ac:dyDescent="0.25">
      <c r="A194" s="177" t="s">
        <v>296</v>
      </c>
      <c r="B194" s="197">
        <v>44000</v>
      </c>
      <c r="C194" s="177" t="s">
        <v>283</v>
      </c>
      <c r="D194" s="177"/>
      <c r="E194" s="3" t="s">
        <v>90</v>
      </c>
      <c r="F194" s="177"/>
      <c r="G194" s="177"/>
      <c r="H194" s="177"/>
      <c r="I194" s="177"/>
      <c r="J194" s="177"/>
    </row>
    <row r="195" spans="1:10" x14ac:dyDescent="0.25">
      <c r="A195" s="177" t="s">
        <v>297</v>
      </c>
      <c r="B195" s="197">
        <v>44900</v>
      </c>
      <c r="C195" s="177" t="s">
        <v>283</v>
      </c>
      <c r="D195" s="177"/>
      <c r="E195" s="3" t="s">
        <v>90</v>
      </c>
      <c r="F195" s="177"/>
      <c r="G195" s="177"/>
      <c r="H195" s="177"/>
      <c r="I195" s="177"/>
      <c r="J195" s="177"/>
    </row>
    <row r="196" spans="1:10" x14ac:dyDescent="0.25">
      <c r="A196" s="177" t="s">
        <v>298</v>
      </c>
      <c r="B196" s="197">
        <v>45700</v>
      </c>
      <c r="C196" s="177" t="s">
        <v>283</v>
      </c>
      <c r="D196" s="177"/>
      <c r="E196" s="3" t="s">
        <v>90</v>
      </c>
      <c r="F196" s="177"/>
      <c r="G196" s="177"/>
      <c r="H196" s="177"/>
      <c r="I196" s="177"/>
      <c r="J196" s="177"/>
    </row>
    <row r="197" spans="1:10" x14ac:dyDescent="0.25">
      <c r="A197" s="177" t="s">
        <v>299</v>
      </c>
      <c r="B197" s="197">
        <v>46500</v>
      </c>
      <c r="C197" s="177" t="s">
        <v>283</v>
      </c>
      <c r="D197" s="177"/>
      <c r="E197" s="3" t="s">
        <v>90</v>
      </c>
      <c r="F197" s="177"/>
      <c r="G197" s="177"/>
      <c r="H197" s="177"/>
      <c r="I197" s="177"/>
      <c r="J197" s="177"/>
    </row>
    <row r="198" spans="1:10" x14ac:dyDescent="0.25">
      <c r="A198" s="177" t="s">
        <v>300</v>
      </c>
      <c r="B198" s="197">
        <v>47300</v>
      </c>
      <c r="C198" s="177" t="s">
        <v>283</v>
      </c>
      <c r="D198" s="177"/>
      <c r="E198" s="3" t="s">
        <v>90</v>
      </c>
      <c r="F198" s="177"/>
      <c r="G198" s="177"/>
      <c r="H198" s="177"/>
      <c r="I198" s="177"/>
      <c r="J198" s="177"/>
    </row>
    <row r="199" spans="1:10" x14ac:dyDescent="0.25">
      <c r="A199" s="177" t="s">
        <v>301</v>
      </c>
      <c r="B199" s="197">
        <v>48200</v>
      </c>
      <c r="C199" s="177" t="s">
        <v>283</v>
      </c>
      <c r="D199" s="177"/>
      <c r="E199" s="3" t="s">
        <v>90</v>
      </c>
      <c r="F199" s="177"/>
      <c r="G199" s="177"/>
      <c r="H199" s="177"/>
      <c r="I199" s="177"/>
      <c r="J199" s="177"/>
    </row>
    <row r="200" spans="1:10" x14ac:dyDescent="0.25">
      <c r="A200" s="177" t="s">
        <v>302</v>
      </c>
      <c r="B200" s="197">
        <v>49100</v>
      </c>
      <c r="C200" s="177" t="s">
        <v>283</v>
      </c>
      <c r="D200" s="177"/>
      <c r="E200" s="3" t="s">
        <v>90</v>
      </c>
      <c r="F200" s="177"/>
      <c r="G200" s="177"/>
      <c r="H200" s="177"/>
      <c r="I200" s="177"/>
      <c r="J200" s="177"/>
    </row>
    <row r="201" spans="1:10" x14ac:dyDescent="0.25">
      <c r="A201" s="177" t="s">
        <v>303</v>
      </c>
      <c r="B201" s="197">
        <v>748600</v>
      </c>
      <c r="C201" s="177" t="s">
        <v>283</v>
      </c>
      <c r="D201" s="177"/>
      <c r="E201" s="3" t="s">
        <v>90</v>
      </c>
      <c r="F201" s="177"/>
      <c r="G201" s="177"/>
      <c r="H201" s="177"/>
      <c r="I201" s="177"/>
      <c r="J201" s="177"/>
    </row>
    <row r="202" spans="1:10" x14ac:dyDescent="0.25">
      <c r="A202" s="177" t="s">
        <v>304</v>
      </c>
      <c r="B202" s="197">
        <v>761600</v>
      </c>
      <c r="C202" s="177" t="s">
        <v>283</v>
      </c>
      <c r="D202" s="177"/>
      <c r="E202" s="3" t="s">
        <v>90</v>
      </c>
      <c r="F202" s="177"/>
      <c r="G202" s="177"/>
      <c r="H202" s="177"/>
      <c r="I202" s="177"/>
      <c r="J202" s="177"/>
    </row>
    <row r="203" spans="1:10" x14ac:dyDescent="0.25">
      <c r="A203" s="177" t="s">
        <v>305</v>
      </c>
      <c r="B203" s="197">
        <v>774700</v>
      </c>
      <c r="C203" s="177" t="s">
        <v>283</v>
      </c>
      <c r="D203" s="177"/>
      <c r="E203" s="3" t="s">
        <v>90</v>
      </c>
      <c r="F203" s="177"/>
      <c r="G203" s="177"/>
      <c r="H203" s="177"/>
      <c r="I203" s="177"/>
      <c r="J203" s="177"/>
    </row>
    <row r="204" spans="1:10" x14ac:dyDescent="0.25">
      <c r="A204" s="177" t="s">
        <v>306</v>
      </c>
      <c r="B204" s="197">
        <v>788100</v>
      </c>
      <c r="C204" s="177" t="s">
        <v>283</v>
      </c>
      <c r="D204" s="177"/>
      <c r="E204" s="3" t="s">
        <v>90</v>
      </c>
      <c r="F204" s="177"/>
      <c r="G204" s="177"/>
      <c r="H204" s="177"/>
      <c r="I204" s="177"/>
      <c r="J204" s="177"/>
    </row>
    <row r="205" spans="1:10" x14ac:dyDescent="0.25">
      <c r="A205" s="177" t="s">
        <v>307</v>
      </c>
      <c r="B205" s="197">
        <v>801700</v>
      </c>
      <c r="C205" s="177" t="s">
        <v>283</v>
      </c>
      <c r="D205" s="177"/>
      <c r="E205" s="3" t="s">
        <v>90</v>
      </c>
      <c r="F205" s="177"/>
      <c r="G205" s="177"/>
      <c r="H205" s="177"/>
      <c r="I205" s="177"/>
      <c r="J205" s="177"/>
    </row>
    <row r="206" spans="1:10" x14ac:dyDescent="0.25">
      <c r="A206" s="177" t="s">
        <v>308</v>
      </c>
      <c r="B206" s="197">
        <v>814500</v>
      </c>
      <c r="C206" s="177" t="s">
        <v>283</v>
      </c>
      <c r="D206" s="177"/>
      <c r="E206" s="3" t="s">
        <v>90</v>
      </c>
      <c r="F206" s="177"/>
      <c r="G206" s="177"/>
      <c r="H206" s="177"/>
      <c r="I206" s="177"/>
      <c r="J206" s="177"/>
    </row>
    <row r="207" spans="1:10" x14ac:dyDescent="0.25">
      <c r="A207" s="177" t="s">
        <v>309</v>
      </c>
      <c r="B207" s="197">
        <v>827400</v>
      </c>
      <c r="C207" s="177" t="s">
        <v>283</v>
      </c>
      <c r="D207" s="177"/>
      <c r="E207" s="3" t="s">
        <v>90</v>
      </c>
      <c r="F207" s="177"/>
      <c r="G207" s="177"/>
      <c r="H207" s="177"/>
      <c r="I207" s="177"/>
      <c r="J207" s="177"/>
    </row>
    <row r="208" spans="1:10" x14ac:dyDescent="0.25">
      <c r="A208" s="177" t="s">
        <v>310</v>
      </c>
      <c r="B208" s="197">
        <v>840600</v>
      </c>
      <c r="C208" s="177" t="s">
        <v>283</v>
      </c>
      <c r="D208" s="177"/>
      <c r="E208" s="3" t="s">
        <v>90</v>
      </c>
      <c r="F208" s="177"/>
      <c r="G208" s="177"/>
      <c r="H208" s="177"/>
      <c r="I208" s="177"/>
      <c r="J208" s="177"/>
    </row>
    <row r="209" spans="1:10" x14ac:dyDescent="0.25">
      <c r="A209" s="177" t="s">
        <v>311</v>
      </c>
      <c r="B209" s="197">
        <v>854000</v>
      </c>
      <c r="C209" s="177" t="s">
        <v>283</v>
      </c>
      <c r="D209" s="177"/>
      <c r="E209" s="3" t="s">
        <v>90</v>
      </c>
      <c r="F209" s="177"/>
      <c r="G209" s="177"/>
      <c r="H209" s="177"/>
      <c r="I209" s="177"/>
      <c r="J209" s="177"/>
    </row>
    <row r="210" spans="1:10" x14ac:dyDescent="0.25">
      <c r="A210" s="177" t="s">
        <v>312</v>
      </c>
      <c r="B210" s="197">
        <v>867600</v>
      </c>
      <c r="C210" s="177" t="s">
        <v>283</v>
      </c>
      <c r="D210" s="177"/>
      <c r="E210" s="3" t="s">
        <v>90</v>
      </c>
      <c r="F210" s="177"/>
      <c r="G210" s="177"/>
      <c r="H210" s="177"/>
      <c r="I210" s="177"/>
      <c r="J210" s="177"/>
    </row>
    <row r="211" spans="1:10" x14ac:dyDescent="0.25">
      <c r="A211" s="177" t="s">
        <v>313</v>
      </c>
      <c r="B211" s="197">
        <v>52</v>
      </c>
      <c r="C211" s="177" t="s">
        <v>283</v>
      </c>
      <c r="D211" s="177" t="s">
        <v>314</v>
      </c>
      <c r="E211" s="3" t="s">
        <v>90</v>
      </c>
      <c r="F211" s="177"/>
      <c r="G211" s="177"/>
      <c r="H211" s="177"/>
      <c r="I211" s="177"/>
      <c r="J211" s="177"/>
    </row>
    <row r="212" spans="1:10" x14ac:dyDescent="0.25">
      <c r="A212" s="177" t="s">
        <v>315</v>
      </c>
      <c r="B212" s="197">
        <v>53</v>
      </c>
      <c r="C212" s="177" t="s">
        <v>283</v>
      </c>
      <c r="D212" s="177" t="s">
        <v>314</v>
      </c>
      <c r="E212" s="3" t="s">
        <v>90</v>
      </c>
      <c r="F212" s="177"/>
      <c r="G212" s="177"/>
      <c r="H212" s="177"/>
      <c r="I212" s="177"/>
      <c r="J212" s="177"/>
    </row>
    <row r="213" spans="1:10" x14ac:dyDescent="0.25">
      <c r="A213" s="177" t="s">
        <v>316</v>
      </c>
      <c r="B213" s="197">
        <v>54</v>
      </c>
      <c r="C213" s="177" t="s">
        <v>283</v>
      </c>
      <c r="D213" s="177" t="s">
        <v>314</v>
      </c>
      <c r="E213" s="3" t="s">
        <v>90</v>
      </c>
      <c r="F213" s="177"/>
      <c r="G213" s="177"/>
      <c r="H213" s="177"/>
      <c r="I213" s="177"/>
      <c r="J213" s="177"/>
    </row>
    <row r="214" spans="1:10" x14ac:dyDescent="0.25">
      <c r="A214" s="177" t="s">
        <v>317</v>
      </c>
      <c r="B214" s="197">
        <v>55</v>
      </c>
      <c r="C214" s="177" t="s">
        <v>283</v>
      </c>
      <c r="D214" s="177" t="s">
        <v>314</v>
      </c>
      <c r="E214" s="3" t="s">
        <v>90</v>
      </c>
      <c r="F214" s="177"/>
      <c r="G214" s="177"/>
      <c r="H214" s="177"/>
      <c r="I214" s="177"/>
      <c r="J214" s="177"/>
    </row>
    <row r="215" spans="1:10" x14ac:dyDescent="0.25">
      <c r="A215" s="177" t="s">
        <v>318</v>
      </c>
      <c r="B215" s="197">
        <v>56</v>
      </c>
      <c r="C215" s="177" t="s">
        <v>283</v>
      </c>
      <c r="D215" s="177" t="s">
        <v>314</v>
      </c>
      <c r="E215" s="3" t="s">
        <v>90</v>
      </c>
      <c r="F215" s="177"/>
      <c r="G215" s="177"/>
      <c r="H215" s="177"/>
      <c r="I215" s="177"/>
      <c r="J215" s="177"/>
    </row>
    <row r="216" spans="1:10" x14ac:dyDescent="0.25">
      <c r="A216" s="177" t="s">
        <v>319</v>
      </c>
      <c r="B216" s="197">
        <v>57</v>
      </c>
      <c r="C216" s="177" t="s">
        <v>283</v>
      </c>
      <c r="D216" s="177" t="s">
        <v>314</v>
      </c>
      <c r="E216" s="3" t="s">
        <v>90</v>
      </c>
      <c r="F216" s="177"/>
      <c r="G216" s="177"/>
      <c r="H216" s="177"/>
      <c r="I216" s="177"/>
      <c r="J216" s="177"/>
    </row>
    <row r="217" spans="1:10" x14ac:dyDescent="0.25">
      <c r="A217" s="177" t="s">
        <v>320</v>
      </c>
      <c r="B217" s="197">
        <v>58</v>
      </c>
      <c r="C217" s="177" t="s">
        <v>283</v>
      </c>
      <c r="D217" s="177" t="s">
        <v>314</v>
      </c>
      <c r="E217" s="3" t="s">
        <v>90</v>
      </c>
      <c r="F217" s="177"/>
      <c r="G217" s="177"/>
      <c r="H217" s="177"/>
      <c r="I217" s="177"/>
      <c r="J217" s="177"/>
    </row>
    <row r="218" spans="1:10" x14ac:dyDescent="0.25">
      <c r="A218" s="177" t="s">
        <v>321</v>
      </c>
      <c r="B218" s="197">
        <v>60</v>
      </c>
      <c r="C218" s="177" t="s">
        <v>283</v>
      </c>
      <c r="D218" s="177" t="s">
        <v>314</v>
      </c>
      <c r="E218" s="3" t="s">
        <v>90</v>
      </c>
      <c r="F218" s="177"/>
      <c r="G218" s="177"/>
      <c r="H218" s="177"/>
      <c r="I218" s="177"/>
      <c r="J218" s="177"/>
    </row>
    <row r="219" spans="1:10" x14ac:dyDescent="0.25">
      <c r="A219" s="177" t="s">
        <v>322</v>
      </c>
      <c r="B219" s="197">
        <v>61</v>
      </c>
      <c r="C219" s="177" t="s">
        <v>283</v>
      </c>
      <c r="D219" s="177" t="s">
        <v>314</v>
      </c>
      <c r="E219" s="3" t="s">
        <v>90</v>
      </c>
      <c r="F219" s="177"/>
      <c r="G219" s="177"/>
      <c r="H219" s="177"/>
      <c r="I219" s="177"/>
      <c r="J219" s="177"/>
    </row>
    <row r="220" spans="1:10" x14ac:dyDescent="0.25">
      <c r="A220" s="177" t="s">
        <v>323</v>
      </c>
      <c r="B220" s="197">
        <v>62</v>
      </c>
      <c r="C220" s="177" t="s">
        <v>283</v>
      </c>
      <c r="D220" s="177" t="s">
        <v>314</v>
      </c>
      <c r="E220" s="3" t="s">
        <v>90</v>
      </c>
      <c r="F220" s="177"/>
      <c r="G220" s="177"/>
      <c r="H220" s="177"/>
      <c r="I220" s="177"/>
      <c r="J220" s="177"/>
    </row>
    <row r="221" spans="1:10" x14ac:dyDescent="0.25">
      <c r="A221" s="177" t="s">
        <v>324</v>
      </c>
      <c r="B221" s="197">
        <v>63</v>
      </c>
      <c r="C221" s="177" t="s">
        <v>283</v>
      </c>
      <c r="D221" s="177" t="s">
        <v>314</v>
      </c>
      <c r="E221" s="3" t="s">
        <v>90</v>
      </c>
      <c r="F221" s="177"/>
      <c r="G221" s="177"/>
      <c r="H221" s="177"/>
      <c r="I221" s="177"/>
      <c r="J221" s="177"/>
    </row>
    <row r="222" spans="1:10" x14ac:dyDescent="0.25">
      <c r="A222" s="177" t="s">
        <v>325</v>
      </c>
      <c r="B222" s="197">
        <v>64</v>
      </c>
      <c r="C222" s="177" t="s">
        <v>283</v>
      </c>
      <c r="D222" s="177" t="s">
        <v>314</v>
      </c>
      <c r="E222" s="3" t="s">
        <v>90</v>
      </c>
      <c r="F222" s="177"/>
      <c r="G222" s="177"/>
      <c r="H222" s="177"/>
      <c r="I222" s="177"/>
      <c r="J222" s="177"/>
    </row>
    <row r="223" spans="1:10" x14ac:dyDescent="0.25">
      <c r="A223" s="177" t="s">
        <v>326</v>
      </c>
      <c r="B223" s="197">
        <v>65</v>
      </c>
      <c r="C223" s="177" t="s">
        <v>283</v>
      </c>
      <c r="D223" s="177" t="s">
        <v>314</v>
      </c>
      <c r="E223" s="3" t="s">
        <v>90</v>
      </c>
      <c r="F223" s="177"/>
      <c r="G223" s="177"/>
      <c r="H223" s="177"/>
      <c r="I223" s="177"/>
      <c r="J223" s="177"/>
    </row>
    <row r="224" spans="1:10" x14ac:dyDescent="0.25">
      <c r="A224" s="177" t="s">
        <v>327</v>
      </c>
      <c r="B224" s="197">
        <v>66</v>
      </c>
      <c r="C224" s="177" t="s">
        <v>283</v>
      </c>
      <c r="D224" s="177" t="s">
        <v>314</v>
      </c>
      <c r="E224" s="3" t="s">
        <v>90</v>
      </c>
      <c r="F224" s="177"/>
      <c r="G224" s="177"/>
      <c r="H224" s="177"/>
      <c r="I224" s="177"/>
      <c r="J224" s="177"/>
    </row>
    <row r="225" spans="1:10" x14ac:dyDescent="0.25">
      <c r="A225" s="177" t="s">
        <v>328</v>
      </c>
      <c r="B225" s="197">
        <v>67</v>
      </c>
      <c r="C225" s="177" t="s">
        <v>283</v>
      </c>
      <c r="D225" s="177" t="s">
        <v>314</v>
      </c>
      <c r="E225" s="3" t="s">
        <v>90</v>
      </c>
      <c r="F225" s="177"/>
      <c r="G225" s="177"/>
      <c r="H225" s="177"/>
      <c r="I225" s="177"/>
      <c r="J225" s="177"/>
    </row>
    <row r="226" spans="1:10" x14ac:dyDescent="0.25">
      <c r="A226" s="177" t="s">
        <v>329</v>
      </c>
      <c r="B226" s="197">
        <v>68</v>
      </c>
      <c r="C226" s="177" t="s">
        <v>283</v>
      </c>
      <c r="D226" s="177" t="s">
        <v>314</v>
      </c>
      <c r="E226" s="3" t="s">
        <v>90</v>
      </c>
      <c r="F226" s="177"/>
      <c r="G226" s="177"/>
      <c r="H226" s="177"/>
      <c r="I226" s="177"/>
      <c r="J226" s="177"/>
    </row>
    <row r="227" spans="1:10" x14ac:dyDescent="0.25">
      <c r="A227" s="177" t="s">
        <v>330</v>
      </c>
      <c r="B227" s="197">
        <v>69</v>
      </c>
      <c r="C227" s="177" t="s">
        <v>283</v>
      </c>
      <c r="D227" s="177" t="s">
        <v>314</v>
      </c>
      <c r="E227" s="3" t="s">
        <v>90</v>
      </c>
      <c r="F227" s="177"/>
      <c r="G227" s="177"/>
      <c r="H227" s="177"/>
      <c r="I227" s="177"/>
      <c r="J227" s="177"/>
    </row>
    <row r="228" spans="1:10" x14ac:dyDescent="0.25">
      <c r="A228" s="177" t="s">
        <v>331</v>
      </c>
      <c r="B228" s="197">
        <v>70</v>
      </c>
      <c r="C228" s="177" t="s">
        <v>283</v>
      </c>
      <c r="D228" s="177" t="s">
        <v>314</v>
      </c>
      <c r="E228" s="3" t="s">
        <v>90</v>
      </c>
      <c r="F228" s="177"/>
      <c r="G228" s="177"/>
      <c r="H228" s="177"/>
      <c r="I228" s="177"/>
      <c r="J228" s="177"/>
    </row>
    <row r="229" spans="1:10" x14ac:dyDescent="0.25">
      <c r="A229" s="177" t="s">
        <v>332</v>
      </c>
      <c r="B229" s="197">
        <v>71</v>
      </c>
      <c r="C229" s="177" t="s">
        <v>283</v>
      </c>
      <c r="D229" s="177" t="s">
        <v>314</v>
      </c>
      <c r="E229" s="3" t="s">
        <v>90</v>
      </c>
      <c r="F229" s="177"/>
      <c r="G229" s="177"/>
      <c r="H229" s="177"/>
      <c r="I229" s="177"/>
      <c r="J229" s="177"/>
    </row>
    <row r="230" spans="1:10" x14ac:dyDescent="0.25">
      <c r="A230" s="177" t="s">
        <v>333</v>
      </c>
      <c r="B230" s="197">
        <v>72</v>
      </c>
      <c r="C230" s="177" t="s">
        <v>283</v>
      </c>
      <c r="D230" s="177" t="s">
        <v>314</v>
      </c>
      <c r="E230" s="3" t="s">
        <v>90</v>
      </c>
      <c r="F230" s="177"/>
      <c r="G230" s="177"/>
      <c r="H230" s="177"/>
      <c r="I230" s="177"/>
      <c r="J230" s="177"/>
    </row>
    <row r="231" spans="1:10" x14ac:dyDescent="0.25">
      <c r="A231" s="177" t="s">
        <v>334</v>
      </c>
      <c r="B231" s="197">
        <v>73</v>
      </c>
      <c r="C231" s="177" t="s">
        <v>283</v>
      </c>
      <c r="D231" s="177" t="s">
        <v>314</v>
      </c>
      <c r="E231" s="3" t="s">
        <v>90</v>
      </c>
      <c r="F231" s="177"/>
      <c r="G231" s="177"/>
      <c r="H231" s="177"/>
      <c r="I231" s="177"/>
      <c r="J231" s="177"/>
    </row>
    <row r="232" spans="1:10" x14ac:dyDescent="0.25">
      <c r="A232" s="177" t="s">
        <v>335</v>
      </c>
      <c r="B232" s="197">
        <v>74</v>
      </c>
      <c r="C232" s="177" t="s">
        <v>283</v>
      </c>
      <c r="D232" s="177" t="s">
        <v>314</v>
      </c>
      <c r="E232" s="3" t="s">
        <v>90</v>
      </c>
      <c r="F232" s="177"/>
      <c r="G232" s="177"/>
      <c r="H232" s="177"/>
      <c r="I232" s="177"/>
      <c r="J232" s="177"/>
    </row>
    <row r="233" spans="1:10" x14ac:dyDescent="0.25">
      <c r="A233" s="177" t="s">
        <v>336</v>
      </c>
      <c r="B233" s="197">
        <v>75</v>
      </c>
      <c r="C233" s="177" t="s">
        <v>283</v>
      </c>
      <c r="D233" s="177" t="s">
        <v>314</v>
      </c>
      <c r="E233" s="3" t="s">
        <v>90</v>
      </c>
      <c r="F233" s="177"/>
      <c r="G233" s="177"/>
      <c r="H233" s="177"/>
      <c r="I233" s="177"/>
      <c r="J233" s="177"/>
    </row>
    <row r="234" spans="1:10" x14ac:dyDescent="0.25">
      <c r="A234" s="177" t="s">
        <v>337</v>
      </c>
      <c r="B234" s="197">
        <v>77</v>
      </c>
      <c r="C234" s="177" t="s">
        <v>283</v>
      </c>
      <c r="D234" s="177" t="s">
        <v>314</v>
      </c>
      <c r="E234" s="3" t="s">
        <v>90</v>
      </c>
      <c r="F234" s="177"/>
      <c r="G234" s="177"/>
      <c r="H234" s="177"/>
      <c r="I234" s="177"/>
      <c r="J234" s="177"/>
    </row>
    <row r="235" spans="1:10" x14ac:dyDescent="0.25">
      <c r="A235" s="177" t="s">
        <v>338</v>
      </c>
      <c r="B235" s="197">
        <v>78</v>
      </c>
      <c r="C235" s="177" t="s">
        <v>283</v>
      </c>
      <c r="D235" s="177" t="s">
        <v>314</v>
      </c>
      <c r="E235" s="3" t="s">
        <v>90</v>
      </c>
      <c r="F235" s="177"/>
      <c r="G235" s="177"/>
      <c r="H235" s="177"/>
      <c r="I235" s="177"/>
      <c r="J235" s="177"/>
    </row>
    <row r="236" spans="1:10" x14ac:dyDescent="0.25">
      <c r="A236" s="177" t="s">
        <v>339</v>
      </c>
      <c r="B236" s="197">
        <v>79</v>
      </c>
      <c r="C236" s="177" t="s">
        <v>283</v>
      </c>
      <c r="D236" s="177" t="s">
        <v>314</v>
      </c>
      <c r="E236" s="3" t="s">
        <v>90</v>
      </c>
      <c r="F236" s="177"/>
      <c r="G236" s="177"/>
      <c r="H236" s="177"/>
      <c r="I236" s="177"/>
      <c r="J236" s="177"/>
    </row>
    <row r="237" spans="1:10" x14ac:dyDescent="0.25">
      <c r="A237" s="177" t="s">
        <v>340</v>
      </c>
      <c r="B237" s="197">
        <v>80</v>
      </c>
      <c r="C237" s="177" t="s">
        <v>283</v>
      </c>
      <c r="D237" s="177" t="s">
        <v>314</v>
      </c>
      <c r="E237" s="3" t="s">
        <v>90</v>
      </c>
      <c r="F237" s="177"/>
      <c r="G237" s="177"/>
      <c r="H237" s="177"/>
      <c r="I237" s="177"/>
      <c r="J237" s="177"/>
    </row>
    <row r="238" spans="1:10" x14ac:dyDescent="0.25">
      <c r="A238" s="177" t="s">
        <v>341</v>
      </c>
      <c r="B238" s="197">
        <v>81</v>
      </c>
      <c r="C238" s="177" t="s">
        <v>283</v>
      </c>
      <c r="D238" s="177" t="s">
        <v>314</v>
      </c>
      <c r="E238" s="3" t="s">
        <v>90</v>
      </c>
      <c r="F238" s="177"/>
      <c r="G238" s="177"/>
      <c r="H238" s="177"/>
      <c r="I238" s="177"/>
      <c r="J238" s="177"/>
    </row>
    <row r="239" spans="1:10" x14ac:dyDescent="0.25">
      <c r="A239" s="177" t="s">
        <v>342</v>
      </c>
      <c r="B239" s="197">
        <v>83</v>
      </c>
      <c r="C239" s="177" t="s">
        <v>283</v>
      </c>
      <c r="D239" s="177" t="s">
        <v>314</v>
      </c>
      <c r="E239" s="3" t="s">
        <v>90</v>
      </c>
      <c r="F239" s="177"/>
      <c r="G239" s="177"/>
      <c r="H239" s="177"/>
      <c r="I239" s="177"/>
      <c r="J239" s="177"/>
    </row>
    <row r="240" spans="1:10" x14ac:dyDescent="0.25">
      <c r="A240" s="177" t="s">
        <v>343</v>
      </c>
      <c r="B240" s="197">
        <v>85</v>
      </c>
      <c r="C240" s="177" t="s">
        <v>283</v>
      </c>
      <c r="D240" s="177" t="s">
        <v>314</v>
      </c>
      <c r="E240" s="3" t="s">
        <v>90</v>
      </c>
      <c r="F240" s="177"/>
      <c r="G240" s="177"/>
      <c r="H240" s="177"/>
      <c r="I240" s="177"/>
      <c r="J240" s="177"/>
    </row>
    <row r="241" spans="1:10" x14ac:dyDescent="0.25">
      <c r="A241" s="177"/>
      <c r="B241" s="177"/>
      <c r="C241" s="177"/>
      <c r="D241" s="177"/>
      <c r="E241" s="177"/>
      <c r="F241" s="177"/>
      <c r="G241" s="177"/>
      <c r="H241" s="177"/>
      <c r="I241" s="177"/>
      <c r="J241" s="177"/>
    </row>
    <row r="242" spans="1:10" x14ac:dyDescent="0.25">
      <c r="A242" s="391" t="s">
        <v>427</v>
      </c>
    </row>
    <row r="243" spans="1:10" x14ac:dyDescent="0.25">
      <c r="A243" s="391" t="s">
        <v>424</v>
      </c>
      <c r="B243" s="400">
        <v>0.67712799999999995</v>
      </c>
    </row>
    <row r="244" spans="1:10" x14ac:dyDescent="0.25">
      <c r="A244" s="391" t="s">
        <v>425</v>
      </c>
      <c r="B244" s="400">
        <v>0.32461600000000002</v>
      </c>
    </row>
    <row r="245" spans="1:10" x14ac:dyDescent="0.25">
      <c r="A245" s="391" t="s">
        <v>426</v>
      </c>
      <c r="B245" s="400">
        <v>3.143E-3</v>
      </c>
    </row>
    <row r="247" spans="1:10" x14ac:dyDescent="0.25">
      <c r="A247" s="391" t="s">
        <v>428</v>
      </c>
    </row>
    <row r="248" spans="1:10" x14ac:dyDescent="0.25">
      <c r="A248" s="391" t="s">
        <v>424</v>
      </c>
      <c r="B248" s="392">
        <v>4600</v>
      </c>
    </row>
    <row r="249" spans="1:10" x14ac:dyDescent="0.25">
      <c r="A249" s="391" t="s">
        <v>425</v>
      </c>
      <c r="B249" s="392">
        <v>302600</v>
      </c>
    </row>
    <row r="250" spans="1:10" x14ac:dyDescent="0.25">
      <c r="A250" s="391" t="s">
        <v>426</v>
      </c>
      <c r="B250" s="392">
        <v>12837400</v>
      </c>
    </row>
  </sheetData>
  <mergeCells count="117">
    <mergeCell ref="H142:H143"/>
    <mergeCell ref="I142:I143"/>
    <mergeCell ref="J142:J143"/>
    <mergeCell ref="B142:B143"/>
    <mergeCell ref="C142:C143"/>
    <mergeCell ref="D142:D143"/>
    <mergeCell ref="E142:E143"/>
    <mergeCell ref="F142:F143"/>
    <mergeCell ref="G142:G143"/>
    <mergeCell ref="B134:B135"/>
    <mergeCell ref="C134:C135"/>
    <mergeCell ref="D134:D135"/>
    <mergeCell ref="E134:E135"/>
    <mergeCell ref="F134:F135"/>
    <mergeCell ref="G134:G135"/>
    <mergeCell ref="H134:H135"/>
    <mergeCell ref="I134:I135"/>
    <mergeCell ref="J134:J135"/>
    <mergeCell ref="B126:B127"/>
    <mergeCell ref="C126:C127"/>
    <mergeCell ref="D126:D127"/>
    <mergeCell ref="E126:E127"/>
    <mergeCell ref="F126:F127"/>
    <mergeCell ref="G126:G127"/>
    <mergeCell ref="H126:H127"/>
    <mergeCell ref="I126:I127"/>
    <mergeCell ref="J126:J127"/>
    <mergeCell ref="H107:H108"/>
    <mergeCell ref="I107:I108"/>
    <mergeCell ref="J107:J108"/>
    <mergeCell ref="B109:B110"/>
    <mergeCell ref="C109:C110"/>
    <mergeCell ref="D109:D110"/>
    <mergeCell ref="E109:E110"/>
    <mergeCell ref="F109:F110"/>
    <mergeCell ref="G109:G110"/>
    <mergeCell ref="H109:H110"/>
    <mergeCell ref="B107:B108"/>
    <mergeCell ref="C107:C108"/>
    <mergeCell ref="D107:D108"/>
    <mergeCell ref="E107:E108"/>
    <mergeCell ref="F107:F108"/>
    <mergeCell ref="G107:G108"/>
    <mergeCell ref="I109:I110"/>
    <mergeCell ref="J109:J110"/>
    <mergeCell ref="B103:B104"/>
    <mergeCell ref="C103:C104"/>
    <mergeCell ref="D103:D104"/>
    <mergeCell ref="E103:E104"/>
    <mergeCell ref="F103:F104"/>
    <mergeCell ref="G103:G104"/>
    <mergeCell ref="H103:H104"/>
    <mergeCell ref="I103:I104"/>
    <mergeCell ref="J103:J104"/>
    <mergeCell ref="B91:B92"/>
    <mergeCell ref="C91:C92"/>
    <mergeCell ref="D91:D92"/>
    <mergeCell ref="E91:E92"/>
    <mergeCell ref="F91:F92"/>
    <mergeCell ref="G91:G92"/>
    <mergeCell ref="H91:H92"/>
    <mergeCell ref="I91:I92"/>
    <mergeCell ref="J91:J92"/>
    <mergeCell ref="H85:H86"/>
    <mergeCell ref="I85:I86"/>
    <mergeCell ref="J85:J86"/>
    <mergeCell ref="B89:B90"/>
    <mergeCell ref="C89:C90"/>
    <mergeCell ref="D89:D90"/>
    <mergeCell ref="E89:E90"/>
    <mergeCell ref="F89:F90"/>
    <mergeCell ref="G89:G90"/>
    <mergeCell ref="H89:H90"/>
    <mergeCell ref="B85:B86"/>
    <mergeCell ref="C85:C86"/>
    <mergeCell ref="D85:D86"/>
    <mergeCell ref="E85:E86"/>
    <mergeCell ref="F85:F86"/>
    <mergeCell ref="G85:G86"/>
    <mergeCell ref="I89:I90"/>
    <mergeCell ref="J89:J90"/>
    <mergeCell ref="B73:B74"/>
    <mergeCell ref="C73:C74"/>
    <mergeCell ref="D73:D74"/>
    <mergeCell ref="E73:E74"/>
    <mergeCell ref="F73:F74"/>
    <mergeCell ref="G73:G74"/>
    <mergeCell ref="H73:H74"/>
    <mergeCell ref="I73:I74"/>
    <mergeCell ref="J73:J74"/>
    <mergeCell ref="B71:B72"/>
    <mergeCell ref="C71:C72"/>
    <mergeCell ref="D71:D72"/>
    <mergeCell ref="E71:E72"/>
    <mergeCell ref="F71:F72"/>
    <mergeCell ref="G71:G72"/>
    <mergeCell ref="H71:H72"/>
    <mergeCell ref="I71:I72"/>
    <mergeCell ref="J71:J72"/>
    <mergeCell ref="H53:H54"/>
    <mergeCell ref="I53:I54"/>
    <mergeCell ref="J53:J54"/>
    <mergeCell ref="B67:B68"/>
    <mergeCell ref="C67:C68"/>
    <mergeCell ref="D67:D68"/>
    <mergeCell ref="E67:E68"/>
    <mergeCell ref="F67:F68"/>
    <mergeCell ref="G67:G68"/>
    <mergeCell ref="H67:H68"/>
    <mergeCell ref="B53:B54"/>
    <mergeCell ref="C53:C54"/>
    <mergeCell ref="D53:D54"/>
    <mergeCell ref="E53:E54"/>
    <mergeCell ref="F53:F54"/>
    <mergeCell ref="G53:G54"/>
    <mergeCell ref="I67:I68"/>
    <mergeCell ref="J67:J68"/>
  </mergeCells>
  <hyperlinks>
    <hyperlink ref="E3" r:id="rId1" display="https://www.transportation.gov/sites/dot.gov/files/2022-03/Benefit Cost Analysis Guidance 2022 %28Revised%29.pdf" xr:uid="{3A7FD359-9625-4E7D-8BE1-EE0BD70F3789}"/>
    <hyperlink ref="E4" r:id="rId2" display="https://www.transportation.gov/sites/dot.gov/files/2022-03/Benefit Cost Analysis Guidance 2022 %28Revised%29.pdf" xr:uid="{796B6287-015E-41C8-A159-0008F0E9BAB1}"/>
    <hyperlink ref="E5" r:id="rId3" display="https://www.transportation.gov/sites/dot.gov/files/2022-03/Benefit Cost Analysis Guidance 2022 %28Revised%29.pdf" xr:uid="{649B6F4F-A7DF-45A5-8584-72DDA5F640C6}"/>
    <hyperlink ref="E6" r:id="rId4" display="https://www.transportation.gov/sites/dot.gov/files/2022-03/Benefit Cost Analysis Guidance 2022 %28Revised%29.pdf" xr:uid="{D48328DC-90B2-4349-B170-33630AD453FB}"/>
    <hyperlink ref="E7" r:id="rId5" display="https://www.transportation.gov/sites/dot.gov/files/2022-03/Benefit Cost Analysis Guidance 2022 %28Revised%29.pdf" xr:uid="{E0182EBF-3DDF-438F-8874-83FA8651ADD6}"/>
    <hyperlink ref="E8" r:id="rId6" display="https://www.transportation.gov/sites/dot.gov/files/2022-03/Benefit Cost Analysis Guidance 2022 %28Revised%29.pdf" xr:uid="{2C17C699-A25E-40BE-A382-8E225ABE3ECF}"/>
    <hyperlink ref="E11" r:id="rId7" display="https://www.transportation.gov/sites/dot.gov/files/2022-03/Benefit Cost Analysis Guidance 2022 %28Revised%29.pdf" xr:uid="{1BB3204B-142C-4FDA-89F8-972D91770151}"/>
    <hyperlink ref="E12" r:id="rId8" display="https://www.transportation.gov/sites/dot.gov/files/2022-03/Benefit Cost Analysis Guidance 2022 %28Revised%29.pdf" xr:uid="{997408A5-F872-49C3-8018-84408063A2EF}"/>
    <hyperlink ref="E13" r:id="rId9" display="https://www.transportation.gov/sites/dot.gov/files/2022-03/Benefit Cost Analysis Guidance 2022 %28Revised%29.pdf" xr:uid="{4E4B74E9-B4E3-4762-8AA3-F70FCD2B64AE}"/>
    <hyperlink ref="E14" r:id="rId10" display="https://www.transportation.gov/sites/dot.gov/files/2022-03/Benefit Cost Analysis Guidance 2022 %28Revised%29.pdf" xr:uid="{4F0847CF-C31E-443A-AB07-50958B0D79A4}"/>
    <hyperlink ref="E15" r:id="rId11" display="https://www.transportation.gov/sites/dot.gov/files/2022-03/Benefit Cost Analysis Guidance 2022 %28Revised%29.pdf" xr:uid="{85CC3C50-2F71-405C-ABA7-361259A36C9C}"/>
    <hyperlink ref="E16" r:id="rId12" display="https://www.transportation.gov/sites/dot.gov/files/2022-03/Benefit Cost Analysis Guidance 2022 %28Revised%29.pdf" xr:uid="{4421375C-4FCC-40E7-8BEF-2E5C50016BFB}"/>
    <hyperlink ref="E17" r:id="rId13" display="https://www.transportation.gov/sites/dot.gov/files/2022-03/Benefit Cost Analysis Guidance 2022 %28Revised%29.pdf" xr:uid="{628F2E92-D876-48A0-86CD-FF028DCBFD5F}"/>
    <hyperlink ref="E18" r:id="rId14" display="https://www.transportation.gov/sites/dot.gov/files/2022-03/Benefit Cost Analysis Guidance 2022 %28Revised%29.pdf" xr:uid="{EFD71F81-B897-4036-984C-1AE38B9449B2}"/>
    <hyperlink ref="E20" r:id="rId15" display="https://www.transportation.gov/sites/dot.gov/files/2022-03/Benefit Cost Analysis Guidance 2022 %28Revised%29.pdf" xr:uid="{3C9033DE-2BEF-49FD-BAC0-8B03743C8E13}"/>
    <hyperlink ref="E21" r:id="rId16" display="https://www.transportation.gov/sites/dot.gov/files/2022-03/Benefit Cost Analysis Guidance 2022 %28Revised%29.pdf" xr:uid="{201807CC-F593-4500-B63B-CB7F01B0238B}"/>
    <hyperlink ref="E22" r:id="rId17" display="https://www.transportation.gov/sites/dot.gov/files/2022-03/Benefit Cost Analysis Guidance 2022 %28Revised%29.pdf" xr:uid="{FDBAE89F-4FE4-45A7-8FA4-B3B121C389A4}"/>
    <hyperlink ref="E23" r:id="rId18" display="https://www.transportation.gov/sites/dot.gov/files/2022-03/Benefit Cost Analysis Guidance 2022 %28Revised%29.pdf" xr:uid="{DC755968-588D-4D80-9939-4E5518057855}"/>
    <hyperlink ref="E24" r:id="rId19" display="https://www.transportation.gov/sites/dot.gov/files/2022-03/Benefit Cost Analysis Guidance 2022 %28Revised%29.pdf" xr:uid="{9108C47A-544B-41FC-BB03-195ABC335639}"/>
    <hyperlink ref="E25" r:id="rId20" display="https://www.transportation.gov/sites/dot.gov/files/2022-03/Benefit Cost Analysis Guidance 2022 %28Revised%29.pdf" xr:uid="{804653B6-024B-46F9-83D5-276F0AC8C397}"/>
    <hyperlink ref="E26" r:id="rId21" display="https://www.transportation.gov/sites/dot.gov/files/2022-03/Benefit Cost Analysis Guidance 2022 %28Revised%29.pdf" xr:uid="{1A73E5B5-D175-4449-B0D8-1534B40C7C15}"/>
    <hyperlink ref="E27" r:id="rId22" display="https://www.transportation.gov/sites/dot.gov/files/2022-03/Benefit Cost Analysis Guidance 2022 %28Revised%29.pdf" xr:uid="{5D10A36A-4802-4F31-A7C7-D0AB3F9397A9}"/>
    <hyperlink ref="E28" r:id="rId23" display="https://www.transportation.gov/sites/dot.gov/files/2022-03/Benefit Cost Analysis Guidance 2022 %28Revised%29.pdf" xr:uid="{C5920C07-8BE4-4CC4-9F4D-49400C242200}"/>
    <hyperlink ref="E30" r:id="rId24" display="https://www.transportation.gov/sites/dot.gov/files/2022-03/Benefit Cost Analysis Guidance 2022 %28Revised%29.pdf" xr:uid="{697BB8B0-4934-40B7-B044-92719AAB6C7D}"/>
    <hyperlink ref="E31" r:id="rId25" display="https://www.transportation.gov/sites/dot.gov/files/2022-03/Benefit Cost Analysis Guidance 2022 %28Revised%29.pdf" xr:uid="{3E9A2087-A731-4C44-8598-39713121C2B4}"/>
    <hyperlink ref="E33" r:id="rId26" display="https://www.transportation.gov/sites/dot.gov/files/2022-03/Benefit Cost Analysis Guidance 2022 %28Revised%29.pdf" xr:uid="{A75F5EFE-AC4C-4372-8B5C-B98A88E43050}"/>
    <hyperlink ref="E34" r:id="rId27" display="https://www.transportation.gov/sites/dot.gov/files/2022-03/Benefit Cost Analysis Guidance 2022 %28Revised%29.pdf" xr:uid="{03E72603-0E90-4FE4-8843-087FD5D05900}"/>
    <hyperlink ref="E35" r:id="rId28" display="https://www.transportation.gov/sites/dot.gov/files/2022-03/Benefit Cost Analysis Guidance 2022 %28Revised%29.pdf" xr:uid="{B9E24EA2-7B3E-4934-B21A-56C01D9D171C}"/>
    <hyperlink ref="E37" r:id="rId29" display="https://www.transportation.gov/sites/dot.gov/files/2022-03/Benefit Cost Analysis Guidance 2022 %28Revised%29.pdf" xr:uid="{67170963-0C99-4ADE-BC4E-9CF2047C4C93}"/>
    <hyperlink ref="E38" r:id="rId30" display="https://www.transportation.gov/sites/dot.gov/files/2022-03/Benefit Cost Analysis Guidance 2022 %28Revised%29.pdf" xr:uid="{AF9C606C-5A42-4AF0-A816-A220D72E398F}"/>
    <hyperlink ref="E39" r:id="rId31" display="https://www.transportation.gov/sites/dot.gov/files/2022-03/Benefit Cost Analysis Guidance 2022 %28Revised%29.pdf" xr:uid="{2260DBAB-EE6B-476E-A440-7B99659204A9}"/>
    <hyperlink ref="E40" r:id="rId32" display="https://www.transportation.gov/sites/dot.gov/files/2022-03/Benefit Cost Analysis Guidance 2022 %28Revised%29.pdf" xr:uid="{51324C50-1AAB-4F17-A40E-82D42EC2305E}"/>
    <hyperlink ref="E41" r:id="rId33" display="https://www.transportation.gov/sites/dot.gov/files/2022-03/Benefit Cost Analysis Guidance 2022 %28Revised%29.pdf" xr:uid="{93308872-B44E-4E0D-B2F6-3794A5C12C35}"/>
    <hyperlink ref="E43" r:id="rId34" display="https://www.transportation.gov/sites/dot.gov/files/2022-03/Benefit Cost Analysis Guidance 2022 %28Revised%29.pdf" xr:uid="{13E48DBC-3620-4AB9-BAF4-5A5D8A21EFED}"/>
    <hyperlink ref="E44" r:id="rId35" display="https://www.transportation.gov/sites/dot.gov/files/2022-03/Benefit Cost Analysis Guidance 2022 %28Revised%29.pdf" xr:uid="{756333F5-973C-4DE4-9D06-DB9245370870}"/>
    <hyperlink ref="E47" r:id="rId36" display="https://www.transportation.gov/sites/dot.gov/files/2022-03/Benefit Cost Analysis Guidance 2022 %28Revised%29.pdf" xr:uid="{CFDCBD38-2E83-42C8-BC81-8F402E517A2A}"/>
    <hyperlink ref="E48" r:id="rId37" display="https://www.transportation.gov/sites/dot.gov/files/2022-03/Benefit Cost Analysis Guidance 2022 %28Revised%29.pdf" xr:uid="{185148F1-518F-4754-BD51-E97708625728}"/>
    <hyperlink ref="E49" r:id="rId38" display="https://www.transportation.gov/sites/dot.gov/files/2022-03/Benefit Cost Analysis Guidance 2022 %28Revised%29.pdf" xr:uid="{9BB74A20-A936-40A1-8268-B8BFAD46E78F}"/>
    <hyperlink ref="E50" r:id="rId39" display="https://www.transportation.gov/sites/dot.gov/files/2022-03/Benefit Cost Analysis Guidance 2022 %28Revised%29.pdf" xr:uid="{ED025223-B5A2-45A4-8AF1-D84A48B85676}"/>
    <hyperlink ref="E51" r:id="rId40" display="https://www.transportation.gov/sites/dot.gov/files/2022-03/Benefit Cost Analysis Guidance 2022 %28Revised%29.pdf" xr:uid="{C86FA21C-6712-422B-8B2D-CD51E6F98AC0}"/>
    <hyperlink ref="E52" r:id="rId41" display="https://www.transportation.gov/sites/dot.gov/files/2022-03/Benefit Cost Analysis Guidance 2022 %28Revised%29.pdf" xr:uid="{70624669-DF80-4170-BFD3-CC9092C1404A}"/>
    <hyperlink ref="E53" r:id="rId42" display="https://www.transportation.gov/sites/dot.gov/files/2022-03/Benefit Cost Analysis Guidance 2022 %28Revised%29.pdf" xr:uid="{8CB0E799-1A4D-4BE7-878A-1C5B64D923AF}"/>
    <hyperlink ref="E55" r:id="rId43" display="https://www.transportation.gov/sites/dot.gov/files/2022-03/Benefit Cost Analysis Guidance 2022 %28Revised%29.pdf" xr:uid="{62A97CDF-7795-42CE-93BF-C5B76C496E5D}"/>
    <hyperlink ref="E56" r:id="rId44" display="https://www.transportation.gov/sites/dot.gov/files/2022-03/Benefit Cost Analysis Guidance 2022 %28Revised%29.pdf" xr:uid="{4BD4CCD9-7F72-4CAE-BFE0-F14837029BEA}"/>
    <hyperlink ref="E57" r:id="rId45" display="https://www.transportation.gov/sites/dot.gov/files/2022-03/Benefit Cost Analysis Guidance 2022 %28Revised%29.pdf" xr:uid="{D029B97E-A2F8-4C1C-ABD3-9977165E71D1}"/>
    <hyperlink ref="E59" r:id="rId46" display="https://www.nhtsa.gov/research-data/fatality-analysis-reporting-system-fars." xr:uid="{26514D02-F055-4EA2-A1EA-DEA6B5E27D60}"/>
    <hyperlink ref="E60" r:id="rId47" display="http://www.cmfclearinghouse.org/" xr:uid="{8523B839-791E-4C5A-9B59-C38C22BD3EE8}"/>
    <hyperlink ref="E61" r:id="rId48" display="http://www.cmfclearinghouse.org/" xr:uid="{481316F3-316A-46E4-A59E-D285567282E9}"/>
    <hyperlink ref="E62" r:id="rId49" display="http://www.cmfclearinghouse.org/" xr:uid="{D4A0DDE7-6D0B-45D3-B6AD-215383FC9BF0}"/>
    <hyperlink ref="E63" r:id="rId50" display="http://www.cmfclearinghouse.org/" xr:uid="{44FEEAC0-895B-4865-9662-A47911E1EC36}"/>
    <hyperlink ref="E65" r:id="rId51" display="https://www.transportation.gov/sites/dot.gov/files/2022-03/Benefit Cost Analysis Guidance 2022 %28Revised%29.pdf" xr:uid="{E40782A5-1BB4-4D86-8ACA-8853E6F6A999}"/>
    <hyperlink ref="E66" r:id="rId52" display="https://www.transportation.gov/sites/dot.gov/files/2022-03/Benefit Cost Analysis Guidance 2022 %28Revised%29.pdf" xr:uid="{4A2B7424-6A59-4555-8431-91F55C2F5FD7}"/>
    <hyperlink ref="E67" r:id="rId53" display="https://www.transportation.gov/sites/dot.gov/files/2022-03/Benefit Cost Analysis Guidance 2022 %28Revised%29.pdf" xr:uid="{6C94C540-1A2A-48B8-83BD-9323FA8B5AA1}"/>
    <hyperlink ref="E69" r:id="rId54" display="https://www.transportation.gov/sites/dot.gov/files/2022-03/Benefit Cost Analysis Guidance 2022 %28Revised%29.pdf" xr:uid="{222A0EDE-1F09-45F6-BA36-E36F5D068E79}"/>
    <hyperlink ref="E70" r:id="rId55" display="https://www.transportation.gov/sites/dot.gov/files/2022-03/Benefit Cost Analysis Guidance 2022 %28Revised%29.pdf" xr:uid="{322267BE-9601-4D14-927F-FD9DFA1DD7DD}"/>
    <hyperlink ref="E71" r:id="rId56" display="https://www.transportation.gov/sites/dot.gov/files/2022-03/Benefit Cost Analysis Guidance 2022 %28Revised%29.pdf" xr:uid="{6D5DEDDC-3A85-4426-95E2-447DAEA02605}"/>
    <hyperlink ref="E73" r:id="rId57" display="https://www.transportation.gov/sites/dot.gov/files/2022-03/Benefit Cost Analysis Guidance 2022 %28Revised%29.pdf" xr:uid="{75EC0939-5A18-4DDD-BA15-EC40BD22F121}"/>
    <hyperlink ref="E75" r:id="rId58" display="https://www.transportation.gov/sites/dot.gov/files/2022-03/Benefit Cost Analysis Guidance 2022 %28Revised%29.pdf" xr:uid="{D18EA0EA-B59F-4823-886E-1F6345DBF231}"/>
    <hyperlink ref="E76" r:id="rId59" display="https://www.transportation.gov/sites/dot.gov/files/2022-03/Benefit Cost Analysis Guidance 2022 %28Revised%29.pdf" xr:uid="{731F2449-7E76-4D28-889C-D8FD415291C9}"/>
    <hyperlink ref="E77" r:id="rId60" display="https://www.transportation.gov/sites/dot.gov/files/2022-03/Benefit Cost Analysis Guidance 2022 %28Revised%29.pdf" xr:uid="{6B3278DC-37D6-4D4C-8722-A2A48E9D40D2}"/>
    <hyperlink ref="E78" r:id="rId61" display="https://www.transportation.gov/sites/dot.gov/files/2022-03/Benefit Cost Analysis Guidance 2022 %28Revised%29.pdf" xr:uid="{294E5EFC-487A-4130-990D-FBA0B3DD0A95}"/>
    <hyperlink ref="E79" r:id="rId62" display="https://www.transportation.gov/sites/dot.gov/files/2022-03/Benefit Cost Analysis Guidance 2022 %28Revised%29.pdf" xr:uid="{A413DD7F-F60C-4C88-A3D9-61320AD29629}"/>
    <hyperlink ref="E80" r:id="rId63" display="https://www.transportation.gov/sites/dot.gov/files/2022-03/Benefit Cost Analysis Guidance 2022 %28Revised%29.pdf" xr:uid="{70634920-68B2-4901-943D-5A849FBEE4BC}"/>
    <hyperlink ref="E81" r:id="rId64" display="https://www.transportation.gov/sites/dot.gov/files/2022-03/Benefit Cost Analysis Guidance 2022 %28Revised%29.pdf" xr:uid="{22614C9A-F8B1-410B-ACA4-5B73C4BE46AB}"/>
    <hyperlink ref="E82" r:id="rId65" display="https://www.transportation.gov/sites/dot.gov/files/2022-03/Benefit Cost Analysis Guidance 2022 %28Revised%29.pdf" xr:uid="{19944BAF-E1E8-4607-99AC-4B6211E6146E}"/>
    <hyperlink ref="E83" r:id="rId66" display="https://www.transportation.gov/sites/dot.gov/files/2022-03/Benefit Cost Analysis Guidance 2022 %28Revised%29.pdf" xr:uid="{C94BFE5D-D7F4-4846-862E-FCD1F9468457}"/>
    <hyperlink ref="E84" r:id="rId67" display="https://www.transportation.gov/sites/dot.gov/files/2022-03/Benefit Cost Analysis Guidance 2022 %28Revised%29.pdf" xr:uid="{DBAB7909-3059-4559-B39D-8F24CD67E606}"/>
    <hyperlink ref="E85" r:id="rId68" display="https://www.transportation.gov/sites/dot.gov/files/2022-03/Benefit Cost Analysis Guidance 2022 %28Revised%29.pdf" xr:uid="{E2C53976-940C-4D4C-957B-5082E290429E}"/>
    <hyperlink ref="E87" r:id="rId69" display="https://www.transportation.gov/sites/dot.gov/files/2022-03/Benefit Cost Analysis Guidance 2022 %28Revised%29.pdf" xr:uid="{7216D162-D356-44B6-8663-687347E9D895}"/>
    <hyperlink ref="E88" r:id="rId70" display="https://www.transportation.gov/sites/dot.gov/files/2022-03/Benefit Cost Analysis Guidance 2022 %28Revised%29.pdf" xr:uid="{2A152740-8FD7-4490-BCA6-4EF713364B3D}"/>
    <hyperlink ref="E89" r:id="rId71" display="https://www.transportation.gov/sites/dot.gov/files/2022-03/Benefit Cost Analysis Guidance 2022 %28Revised%29.pdf" xr:uid="{51C2B1AB-205F-464E-B159-B4AA382F1E5B}"/>
    <hyperlink ref="E91" r:id="rId72" display="https://www.transportation.gov/sites/dot.gov/files/2022-03/Benefit Cost Analysis Guidance 2022 %28Revised%29.pdf" xr:uid="{9B8FE4FE-DC97-460C-99F9-F9BCE89AF0DD}"/>
    <hyperlink ref="E93" r:id="rId73" display="https://www.transportation.gov/sites/dot.gov/files/2022-03/Benefit Cost Analysis Guidance 2022 %28Revised%29.pdf" xr:uid="{B2193C98-DDE6-44E9-9DAE-861CCEE92589}"/>
    <hyperlink ref="E94" r:id="rId74" display="https://www.transportation.gov/sites/dot.gov/files/2022-03/Benefit Cost Analysis Guidance 2022 %28Revised%29.pdf" xr:uid="{9F188C7C-B018-4E8D-B287-095F0D0E474E}"/>
    <hyperlink ref="E95" r:id="rId75" display="https://www.transportation.gov/sites/dot.gov/files/2022-03/Benefit Cost Analysis Guidance 2022 %28Revised%29.pdf" xr:uid="{11F1B716-47AB-4882-B9F0-E8A4CB084ABA}"/>
    <hyperlink ref="E96" r:id="rId76" display="https://www.transportation.gov/sites/dot.gov/files/2022-03/Benefit Cost Analysis Guidance 2022 %28Revised%29.pdf" xr:uid="{4D26C6E5-EC64-4226-AA2E-CED3663FAA70}"/>
    <hyperlink ref="E97" r:id="rId77" display="https://www.transportation.gov/sites/dot.gov/files/2022-03/Benefit Cost Analysis Guidance 2022 %28Revised%29.pdf" xr:uid="{A37C662C-3C08-4EA3-A459-80E31BE43AD6}"/>
    <hyperlink ref="E98" r:id="rId78" display="https://www.transportation.gov/sites/dot.gov/files/2022-03/Benefit Cost Analysis Guidance 2022 %28Revised%29.pdf" xr:uid="{8979980A-EBD1-4D17-B5FF-5F5180C1BFD6}"/>
    <hyperlink ref="E99" r:id="rId79" display="https://www.transportation.gov/sites/dot.gov/files/2022-03/Benefit Cost Analysis Guidance 2022 %28Revised%29.pdf" xr:uid="{643E8421-86B2-4154-9D35-830C3F524C61}"/>
    <hyperlink ref="E100" r:id="rId80" display="https://www.transportation.gov/sites/dot.gov/files/2022-03/Benefit Cost Analysis Guidance 2022 %28Revised%29.pdf" xr:uid="{2C279B87-2F0C-4E7C-A7FB-847E832D2372}"/>
    <hyperlink ref="E101" r:id="rId81" display="https://www.transportation.gov/sites/dot.gov/files/2022-03/Benefit Cost Analysis Guidance 2022 %28Revised%29.pdf" xr:uid="{8BACE7AA-1AD4-4CC8-8B2F-A334551FF000}"/>
    <hyperlink ref="E102" r:id="rId82" display="https://www.transportation.gov/sites/dot.gov/files/2022-03/Benefit Cost Analysis Guidance 2022 %28Revised%29.pdf" xr:uid="{C5AA0FDA-43F6-4A4E-8D7C-59837B3F6AD1}"/>
    <hyperlink ref="E103" r:id="rId83" display="https://www.transportation.gov/sites/dot.gov/files/2022-03/Benefit Cost Analysis Guidance 2022 %28Revised%29.pdf" xr:uid="{5E3B356E-97A3-4410-8FA2-D3369784B46C}"/>
    <hyperlink ref="E105" r:id="rId84" display="https://www.transportation.gov/sites/dot.gov/files/2022-03/Benefit Cost Analysis Guidance 2022 %28Revised%29.pdf" xr:uid="{19CAA357-CA64-447B-8B54-9E0E2F2C345A}"/>
    <hyperlink ref="E106" r:id="rId85" display="https://www.transportation.gov/sites/dot.gov/files/2022-03/Benefit Cost Analysis Guidance 2022 %28Revised%29.pdf" xr:uid="{8583DBDE-7FA0-4DAC-89C0-3DE61254E5F7}"/>
    <hyperlink ref="E107" r:id="rId86" display="https://www.transportation.gov/sites/dot.gov/files/2022-03/Benefit Cost Analysis Guidance 2022 %28Revised%29.pdf" xr:uid="{69A8FAE9-84B3-43B5-923E-86524DE41056}"/>
    <hyperlink ref="E109" r:id="rId87" display="https://www.transportation.gov/sites/dot.gov/files/2022-03/Benefit Cost Analysis Guidance 2022 %28Revised%29.pdf" xr:uid="{AE423C1D-C945-49C2-8084-E20E2EEC3FE1}"/>
    <hyperlink ref="E111" r:id="rId88" display="https://www.transportation.gov/sites/dot.gov/files/2022-03/Benefit Cost Analysis Guidance 2022 %28Revised%29.pdf" xr:uid="{266BA0FE-5990-4A08-B798-CAF8EEB732CD}"/>
    <hyperlink ref="E112" r:id="rId89" display="https://www.transportation.gov/sites/dot.gov/files/2022-03/Benefit Cost Analysis Guidance 2022 %28Revised%29.pdf" xr:uid="{20312276-BAA5-4DF1-B59D-FA905962E037}"/>
    <hyperlink ref="E113" r:id="rId90" display="https://www.transportation.gov/sites/dot.gov/files/2022-03/Benefit Cost Analysis Guidance 2022 %28Revised%29.pdf" xr:uid="{A315E8D9-4BD2-468F-A97A-D9C0A1A699DF}"/>
    <hyperlink ref="E114" r:id="rId91" display="https://www.transportation.gov/sites/dot.gov/files/2022-03/Benefit Cost Analysis Guidance 2022 %28Revised%29.pdf" xr:uid="{FD8C4E93-7F3F-4E96-BE23-01DD9D4FE087}"/>
    <hyperlink ref="E115" r:id="rId92" display="https://www.transportation.gov/sites/dot.gov/files/2022-03/Benefit Cost Analysis Guidance 2022 %28Revised%29.pdf" xr:uid="{C4906A77-20C5-4C3D-9D2B-7CC3FCD86862}"/>
    <hyperlink ref="E116" r:id="rId93" display="https://www.transportation.gov/sites/dot.gov/files/2022-03/Benefit Cost Analysis Guidance 2022 %28Revised%29.pdf" xr:uid="{6D1A6451-A798-4150-9003-393490139492}"/>
    <hyperlink ref="E117" r:id="rId94" display="https://www.transportation.gov/sites/dot.gov/files/2022-03/Benefit Cost Analysis Guidance 2022 %28Revised%29.pdf" xr:uid="{2E6AFB4F-8056-40B4-A2D8-85549436D4CD}"/>
    <hyperlink ref="E118" r:id="rId95" display="https://www.transportation.gov/sites/dot.gov/files/2022-03/Benefit Cost Analysis Guidance 2022 %28Revised%29.pdf" xr:uid="{B563B7F1-C45B-4364-B57F-C71032E5A765}"/>
    <hyperlink ref="E119" r:id="rId96" display="https://www.transportation.gov/sites/dot.gov/files/2022-03/Benefit Cost Analysis Guidance 2022 %28Revised%29.pdf" xr:uid="{B668084B-6F20-483A-BD82-114A29AE0E1C}"/>
    <hyperlink ref="E120" r:id="rId97" display="https://www.transportation.gov/sites/dot.gov/files/2022-03/Benefit Cost Analysis Guidance 2022 %28Revised%29.pdf" xr:uid="{6C05A124-993F-407F-80DC-B11E4857D5D4}"/>
    <hyperlink ref="E121" r:id="rId98" display="https://www.transportation.gov/sites/dot.gov/files/2022-03/Benefit Cost Analysis Guidance 2022 %28Revised%29.pdf" xr:uid="{487EDA12-6E73-468A-8387-4CFA2F44D65C}"/>
    <hyperlink ref="E122" r:id="rId99" display="https://www.transportation.gov/sites/dot.gov/files/2022-03/Benefit Cost Analysis Guidance 2022 %28Revised%29.pdf" xr:uid="{7AB1867A-977D-4F53-A0C1-B805B814DEDB}"/>
    <hyperlink ref="E123" r:id="rId100" display="https://www.transportation.gov/sites/dot.gov/files/2022-03/Benefit Cost Analysis Guidance 2022 %28Revised%29.pdf" xr:uid="{BCDC3FA4-B455-4A67-B115-25EE803F0433}"/>
    <hyperlink ref="E124" r:id="rId101" display="https://www.transportation.gov/sites/dot.gov/files/2022-03/Benefit Cost Analysis Guidance 2022 %28Revised%29.pdf" xr:uid="{FAFAE755-F470-4CBB-95A9-677058B3AFEF}"/>
    <hyperlink ref="E125" r:id="rId102" display="https://www.transportation.gov/sites/dot.gov/files/2022-03/Benefit Cost Analysis Guidance 2022 %28Revised%29.pdf" xr:uid="{7D3C72C6-1010-499E-8255-4B904C312900}"/>
    <hyperlink ref="E126" r:id="rId103" display="https://www.transportation.gov/sites/dot.gov/files/2022-03/Benefit Cost Analysis Guidance 2022 %28Revised%29.pdf" xr:uid="{2FC95691-1C6E-4ACD-AA71-30D708B9C220}"/>
    <hyperlink ref="E128" r:id="rId104" display="https://www.transportation.gov/sites/dot.gov/files/2022-03/Benefit Cost Analysis Guidance 2022 %28Revised%29.pdf" xr:uid="{586B862B-4733-45A9-99E5-14954AAD062B}"/>
    <hyperlink ref="E129" r:id="rId105" display="https://www.transportation.gov/sites/dot.gov/files/2022-03/Benefit Cost Analysis Guidance 2022 %28Revised%29.pdf" xr:uid="{73E351D8-7F87-4F5C-BC1F-0ADC676A3DCD}"/>
    <hyperlink ref="E130" r:id="rId106" display="https://www.transportation.gov/sites/dot.gov/files/2022-03/Benefit Cost Analysis Guidance 2022 %28Revised%29.pdf" xr:uid="{38F48BFC-2ADC-4382-A416-F7B9FF5E2519}"/>
    <hyperlink ref="E131" r:id="rId107" display="https://www.transportation.gov/sites/dot.gov/files/2022-03/Benefit Cost Analysis Guidance 2022 %28Revised%29.pdf" xr:uid="{326670DC-F0D8-493A-8577-EF883F8135DF}"/>
    <hyperlink ref="E132" r:id="rId108" display="https://www.transportation.gov/sites/dot.gov/files/2022-03/Benefit Cost Analysis Guidance 2022 %28Revised%29.pdf" xr:uid="{02772EC9-E1C9-4841-B87B-7AF9366F206A}"/>
    <hyperlink ref="E133" r:id="rId109" display="https://www.transportation.gov/sites/dot.gov/files/2022-03/Benefit Cost Analysis Guidance 2022 %28Revised%29.pdf" xr:uid="{C5AA27F8-4118-4445-B31D-9095D5C4AB86}"/>
    <hyperlink ref="E134" r:id="rId110" display="https://www.transportation.gov/sites/dot.gov/files/2022-03/Benefit Cost Analysis Guidance 2022 %28Revised%29.pdf" xr:uid="{2E34B2D9-30E5-4640-9F0F-17A53A028346}"/>
    <hyperlink ref="E136" r:id="rId111" display="https://www.transportation.gov/sites/dot.gov/files/2022-03/Benefit Cost Analysis Guidance 2022 %28Revised%29.pdf" xr:uid="{7ED03166-1482-451A-BE43-3702714C4108}"/>
    <hyperlink ref="E137" r:id="rId112" display="https://www.transportation.gov/sites/dot.gov/files/2022-03/Benefit Cost Analysis Guidance 2022 %28Revised%29.pdf" xr:uid="{0C61F36E-287F-4A0C-9359-C090FA9EC80E}"/>
    <hyperlink ref="E138" r:id="rId113" display="https://www.transportation.gov/sites/dot.gov/files/2022-03/Benefit Cost Analysis Guidance 2022 %28Revised%29.pdf" xr:uid="{DDC03DA4-ACF9-40B1-8147-F5B36258E0D9}"/>
    <hyperlink ref="E139" r:id="rId114" display="https://www.transportation.gov/sites/dot.gov/files/2022-03/Benefit Cost Analysis Guidance 2022 %28Revised%29.pdf" xr:uid="{193F2EF7-B210-496C-99D8-9B1052FA858A}"/>
    <hyperlink ref="E140" r:id="rId115" display="https://www.transportation.gov/sites/dot.gov/files/2022-03/Benefit Cost Analysis Guidance 2022 %28Revised%29.pdf" xr:uid="{DC5B5F17-EE43-4D70-83B6-C7BFAC5BC27E}"/>
    <hyperlink ref="E141" r:id="rId116" display="https://www.transportation.gov/sites/dot.gov/files/2022-03/Benefit Cost Analysis Guidance 2022 %28Revised%29.pdf" xr:uid="{616B1659-9554-48AB-9A41-EDEB0FFA6170}"/>
    <hyperlink ref="E142" r:id="rId117" display="https://www.transportation.gov/sites/dot.gov/files/2022-03/Benefit Cost Analysis Guidance 2022 %28Revised%29.pdf" xr:uid="{5D8D0240-37B3-421C-A28F-8FE985E932D7}"/>
    <hyperlink ref="E144" r:id="rId118" display="https://www.transportation.gov/sites/dot.gov/files/2022-03/Benefit Cost Analysis Guidance 2022 %28Revised%29.pdf" xr:uid="{1DC46628-57EF-422A-9DA4-677412A46A73}"/>
    <hyperlink ref="E145" r:id="rId119" display="https://www.transportation.gov/sites/dot.gov/files/2022-03/Benefit Cost Analysis Guidance 2022 %28Revised%29.pdf" xr:uid="{051C57CC-1969-4D82-A6E8-BA93B32AA43A}"/>
    <hyperlink ref="E146" r:id="rId120" display="https://www.transportation.gov/sites/dot.gov/files/2022-03/Benefit Cost Analysis Guidance 2022 %28Revised%29.pdf" xr:uid="{685A46A5-2480-4130-AA64-C51C74723978}"/>
    <hyperlink ref="E147" r:id="rId121" display="https://www.transportation.gov/sites/dot.gov/files/2022-03/Benefit Cost Analysis Guidance 2022 %28Revised%29.pdf" xr:uid="{DCAD86C3-E9FF-4461-95FB-1CE30816F16C}"/>
    <hyperlink ref="E148" r:id="rId122" display="https://www.transportation.gov/sites/dot.gov/files/2022-03/Benefit Cost Analysis Guidance 2022 %28Revised%29.pdf" xr:uid="{1A678B7B-9FFF-49C7-98C7-30EB155C6B69}"/>
    <hyperlink ref="E149" r:id="rId123" display="https://www.transportation.gov/sites/dot.gov/files/2022-03/Benefit Cost Analysis Guidance 2022 %28Revised%29.pdf" xr:uid="{8B07CE53-30D3-4898-B9B0-DE4C53BEDF3F}"/>
    <hyperlink ref="E150" r:id="rId124" display="https://www.transportation.gov/sites/dot.gov/files/2022-03/Benefit Cost Analysis Guidance 2022 %28Revised%29.pdf" xr:uid="{E9844865-A900-4B52-8C8E-82DABB0957F5}"/>
    <hyperlink ref="E151" r:id="rId125" display="https://www.transportation.gov/sites/dot.gov/files/2022-03/Benefit Cost Analysis Guidance 2022 %28Revised%29.pdf" xr:uid="{8CACA717-4E0B-4D13-BFFE-685F7077AEC5}"/>
    <hyperlink ref="E181" r:id="rId126" display="https://www.transportation.gov/sites/dot.gov/files/2022-03/Benefit Cost Analysis Guidance 2022 %28Revised%29.pdf" xr:uid="{34533612-F1C2-4631-864B-D0BCC14E48F7}"/>
    <hyperlink ref="E182" r:id="rId127" display="https://www.transportation.gov/sites/dot.gov/files/2022-03/Benefit Cost Analysis Guidance 2022 %28Revised%29.pdf" xr:uid="{0EBBD449-8563-41D6-837E-BFB6115892F9}"/>
    <hyperlink ref="E183" r:id="rId128" display="https://www.transportation.gov/sites/dot.gov/files/2022-03/Benefit Cost Analysis Guidance 2022 %28Revised%29.pdf" xr:uid="{BA5E154F-18D8-47C5-9467-2B7E3F3435EA}"/>
    <hyperlink ref="E184" r:id="rId129" display="https://www.transportation.gov/sites/dot.gov/files/2022-03/Benefit Cost Analysis Guidance 2022 %28Revised%29.pdf" xr:uid="{FE71BC9C-4AF2-4FAC-85F9-F7D99283B1CE}"/>
    <hyperlink ref="E185" r:id="rId130" display="https://www.transportation.gov/sites/dot.gov/files/2022-03/Benefit Cost Analysis Guidance 2022 %28Revised%29.pdf" xr:uid="{E1D5FB28-2AC2-4C4E-B66B-127573D9A8DF}"/>
    <hyperlink ref="E186" r:id="rId131" display="https://www.transportation.gov/sites/dot.gov/files/2022-03/Benefit Cost Analysis Guidance 2022 %28Revised%29.pdf" xr:uid="{F33E0B7E-012E-410A-942C-137FE948D401}"/>
    <hyperlink ref="E187" r:id="rId132" display="https://www.transportation.gov/sites/dot.gov/files/2022-03/Benefit Cost Analysis Guidance 2022 %28Revised%29.pdf" xr:uid="{8A251F3F-C086-41B4-8DD0-EBC206805FFA}"/>
    <hyperlink ref="E188" r:id="rId133" display="https://www.transportation.gov/sites/dot.gov/files/2022-03/Benefit Cost Analysis Guidance 2022 %28Revised%29.pdf" xr:uid="{85F5BF94-720C-4D3A-9AD1-548AC381F0F5}"/>
    <hyperlink ref="E189" r:id="rId134" display="https://www.transportation.gov/sites/dot.gov/files/2022-03/Benefit Cost Analysis Guidance 2022 %28Revised%29.pdf" xr:uid="{21992D11-B0B2-48EE-832A-F0F20B7BA82F}"/>
    <hyperlink ref="E190" r:id="rId135" display="https://www.transportation.gov/sites/dot.gov/files/2022-03/Benefit Cost Analysis Guidance 2022 %28Revised%29.pdf" xr:uid="{45B2EA4F-545B-411C-9078-80B6119B552A}"/>
    <hyperlink ref="E191" r:id="rId136" display="https://www.transportation.gov/sites/dot.gov/files/2022-03/Benefit Cost Analysis Guidance 2022 %28Revised%29.pdf" xr:uid="{0BF54BFC-DE41-4574-8DF2-FE81346057E2}"/>
    <hyperlink ref="E192" r:id="rId137" display="https://www.transportation.gov/sites/dot.gov/files/2022-03/Benefit Cost Analysis Guidance 2022 %28Revised%29.pdf" xr:uid="{FC58482A-55BB-40D3-B2AC-6D04C8CF2B5C}"/>
    <hyperlink ref="E193" r:id="rId138" display="https://www.transportation.gov/sites/dot.gov/files/2022-03/Benefit Cost Analysis Guidance 2022 %28Revised%29.pdf" xr:uid="{3A92998C-C061-469C-9F41-0D2AE317FE6C}"/>
    <hyperlink ref="E194" r:id="rId139" display="https://www.transportation.gov/sites/dot.gov/files/2022-03/Benefit Cost Analysis Guidance 2022 %28Revised%29.pdf" xr:uid="{34530508-E37B-4EDE-A9B0-919F3D0C12CA}"/>
    <hyperlink ref="E195" r:id="rId140" display="https://www.transportation.gov/sites/dot.gov/files/2022-03/Benefit Cost Analysis Guidance 2022 %28Revised%29.pdf" xr:uid="{F7ED63AB-E018-4856-9797-E3739514B5CC}"/>
    <hyperlink ref="E196" r:id="rId141" display="https://www.transportation.gov/sites/dot.gov/files/2022-03/Benefit Cost Analysis Guidance 2022 %28Revised%29.pdf" xr:uid="{4CE90580-2D3D-4FE8-B6EE-BD68F832422A}"/>
    <hyperlink ref="E197" r:id="rId142" display="https://www.transportation.gov/sites/dot.gov/files/2022-03/Benefit Cost Analysis Guidance 2022 %28Revised%29.pdf" xr:uid="{B06CFD41-F40D-4361-9F3A-57B25E8C4413}"/>
    <hyperlink ref="E198" r:id="rId143" display="https://www.transportation.gov/sites/dot.gov/files/2022-03/Benefit Cost Analysis Guidance 2022 %28Revised%29.pdf" xr:uid="{322F3532-3276-4090-BEE0-A979F03B1912}"/>
    <hyperlink ref="E199" r:id="rId144" display="https://www.transportation.gov/sites/dot.gov/files/2022-03/Benefit Cost Analysis Guidance 2022 %28Revised%29.pdf" xr:uid="{FA406F99-15DC-4B4F-AEE6-8732EE38FE26}"/>
    <hyperlink ref="E200" r:id="rId145" display="https://www.transportation.gov/sites/dot.gov/files/2022-03/Benefit Cost Analysis Guidance 2022 %28Revised%29.pdf" xr:uid="{F8E30F55-6ECC-4F05-B669-BD5C886680D1}"/>
    <hyperlink ref="E201" r:id="rId146" display="https://www.transportation.gov/sites/dot.gov/files/2022-03/Benefit Cost Analysis Guidance 2022 %28Revised%29.pdf" xr:uid="{6B0D4C05-C655-4D59-9820-BA1DF534C1C2}"/>
    <hyperlink ref="E202" r:id="rId147" display="https://www.transportation.gov/sites/dot.gov/files/2022-03/Benefit Cost Analysis Guidance 2022 %28Revised%29.pdf" xr:uid="{734DE356-C1A8-4EA8-9520-D686078F6822}"/>
    <hyperlink ref="E203" r:id="rId148" display="https://www.transportation.gov/sites/dot.gov/files/2022-03/Benefit Cost Analysis Guidance 2022 %28Revised%29.pdf" xr:uid="{2231ABD8-9AB0-4650-AAC5-EC91476A9B61}"/>
    <hyperlink ref="E204" r:id="rId149" display="https://www.transportation.gov/sites/dot.gov/files/2022-03/Benefit Cost Analysis Guidance 2022 %28Revised%29.pdf" xr:uid="{69546BD6-A7EA-4BA6-A7A7-C43CA55DD93F}"/>
    <hyperlink ref="E205" r:id="rId150" display="https://www.transportation.gov/sites/dot.gov/files/2022-03/Benefit Cost Analysis Guidance 2022 %28Revised%29.pdf" xr:uid="{E151F56D-EF70-49EE-927D-599D0FC64173}"/>
    <hyperlink ref="E206" r:id="rId151" display="https://www.transportation.gov/sites/dot.gov/files/2022-03/Benefit Cost Analysis Guidance 2022 %28Revised%29.pdf" xr:uid="{3AD98047-8533-4D02-86F1-F95635FA1BB6}"/>
    <hyperlink ref="E207" r:id="rId152" display="https://www.transportation.gov/sites/dot.gov/files/2022-03/Benefit Cost Analysis Guidance 2022 %28Revised%29.pdf" xr:uid="{F12A7023-67B1-4E40-9784-509A1D5A6977}"/>
    <hyperlink ref="E208" r:id="rId153" display="https://www.transportation.gov/sites/dot.gov/files/2022-03/Benefit Cost Analysis Guidance 2022 %28Revised%29.pdf" xr:uid="{3D9B0AC0-DBC6-409B-9447-B5E6E3E965E1}"/>
    <hyperlink ref="E209" r:id="rId154" display="https://www.transportation.gov/sites/dot.gov/files/2022-03/Benefit Cost Analysis Guidance 2022 %28Revised%29.pdf" xr:uid="{45776296-9476-45A4-93F4-491B42AAA829}"/>
    <hyperlink ref="E210" r:id="rId155" display="https://www.transportation.gov/sites/dot.gov/files/2022-03/Benefit Cost Analysis Guidance 2022 %28Revised%29.pdf" xr:uid="{0BC3E616-34AE-4330-B72C-97AFFFB2A8A3}"/>
    <hyperlink ref="E211" r:id="rId156" display="https://www.transportation.gov/sites/dot.gov/files/2022-03/Benefit Cost Analysis Guidance 2022 %28Revised%29.pdf" xr:uid="{E4A90F7B-EDD2-4D9B-81B1-8CBB8B3DE455}"/>
    <hyperlink ref="E212" r:id="rId157" display="https://www.transportation.gov/sites/dot.gov/files/2022-03/Benefit Cost Analysis Guidance 2022 %28Revised%29.pdf" xr:uid="{E19A7270-E980-44B7-82C3-68DDE1CCC170}"/>
    <hyperlink ref="E213" r:id="rId158" display="https://www.transportation.gov/sites/dot.gov/files/2022-03/Benefit Cost Analysis Guidance 2022 %28Revised%29.pdf" xr:uid="{379894F1-63AD-437A-92C4-715DBAA5B3B2}"/>
    <hyperlink ref="E214" r:id="rId159" display="https://www.transportation.gov/sites/dot.gov/files/2022-03/Benefit Cost Analysis Guidance 2022 %28Revised%29.pdf" xr:uid="{23F948E7-D668-4CF8-BBC5-3A14D974673A}"/>
    <hyperlink ref="E215" r:id="rId160" display="https://www.transportation.gov/sites/dot.gov/files/2022-03/Benefit Cost Analysis Guidance 2022 %28Revised%29.pdf" xr:uid="{D03CB5C5-0C47-406B-91F1-21B9B3AF9250}"/>
    <hyperlink ref="E216" r:id="rId161" display="https://www.transportation.gov/sites/dot.gov/files/2022-03/Benefit Cost Analysis Guidance 2022 %28Revised%29.pdf" xr:uid="{502F55E1-ED7F-4368-A400-C949CF5BD21C}"/>
    <hyperlink ref="E217" r:id="rId162" display="https://www.transportation.gov/sites/dot.gov/files/2022-03/Benefit Cost Analysis Guidance 2022 %28Revised%29.pdf" xr:uid="{685DF674-FF51-448F-AC96-DE19025A50E1}"/>
    <hyperlink ref="E218" r:id="rId163" display="https://www.transportation.gov/sites/dot.gov/files/2022-03/Benefit Cost Analysis Guidance 2022 %28Revised%29.pdf" xr:uid="{08A15CF3-38CA-4BEE-8815-F5D0C403BA1E}"/>
    <hyperlink ref="E219" r:id="rId164" display="https://www.transportation.gov/sites/dot.gov/files/2022-03/Benefit Cost Analysis Guidance 2022 %28Revised%29.pdf" xr:uid="{87A31341-CD16-45A6-8BB9-401A0612F184}"/>
    <hyperlink ref="E220" r:id="rId165" display="https://www.transportation.gov/sites/dot.gov/files/2022-03/Benefit Cost Analysis Guidance 2022 %28Revised%29.pdf" xr:uid="{578FAAED-8E48-4389-AFF1-9FECC47EC596}"/>
    <hyperlink ref="E221" r:id="rId166" display="https://www.transportation.gov/sites/dot.gov/files/2022-03/Benefit Cost Analysis Guidance 2022 %28Revised%29.pdf" xr:uid="{62CD61B1-55D2-4AA7-8D65-C830A9A669AB}"/>
    <hyperlink ref="E222" r:id="rId167" display="https://www.transportation.gov/sites/dot.gov/files/2022-03/Benefit Cost Analysis Guidance 2022 %28Revised%29.pdf" xr:uid="{825B8B05-3B24-4BA8-BFBC-C079B8DFB893}"/>
    <hyperlink ref="E223" r:id="rId168" display="https://www.transportation.gov/sites/dot.gov/files/2022-03/Benefit Cost Analysis Guidance 2022 %28Revised%29.pdf" xr:uid="{622A5A26-0BD0-44A8-8718-51738B61CDCA}"/>
    <hyperlink ref="E224" r:id="rId169" display="https://www.transportation.gov/sites/dot.gov/files/2022-03/Benefit Cost Analysis Guidance 2022 %28Revised%29.pdf" xr:uid="{3F0FBB74-1B04-4933-B778-01ED87781942}"/>
    <hyperlink ref="E225" r:id="rId170" display="https://www.transportation.gov/sites/dot.gov/files/2022-03/Benefit Cost Analysis Guidance 2022 %28Revised%29.pdf" xr:uid="{82C99D96-C8CD-42C3-BB3D-C8D7525A146D}"/>
    <hyperlink ref="E226" r:id="rId171" display="https://www.transportation.gov/sites/dot.gov/files/2022-03/Benefit Cost Analysis Guidance 2022 %28Revised%29.pdf" xr:uid="{A4C0CE64-320B-4A82-ABDE-E0B1336FF7F3}"/>
    <hyperlink ref="E227" r:id="rId172" display="https://www.transportation.gov/sites/dot.gov/files/2022-03/Benefit Cost Analysis Guidance 2022 %28Revised%29.pdf" xr:uid="{D7381FE1-8BE7-40AA-B718-5D108BE863EB}"/>
    <hyperlink ref="E228" r:id="rId173" display="https://www.transportation.gov/sites/dot.gov/files/2022-03/Benefit Cost Analysis Guidance 2022 %28Revised%29.pdf" xr:uid="{1F86D60C-5395-4F66-82B6-C7D71550E5A5}"/>
    <hyperlink ref="E229" r:id="rId174" display="https://www.transportation.gov/sites/dot.gov/files/2022-03/Benefit Cost Analysis Guidance 2022 %28Revised%29.pdf" xr:uid="{4EE12E6A-5A52-4724-ACCD-6EF1A825798D}"/>
    <hyperlink ref="E230" r:id="rId175" display="https://www.transportation.gov/sites/dot.gov/files/2022-03/Benefit Cost Analysis Guidance 2022 %28Revised%29.pdf" xr:uid="{FB6C6262-6D24-4A02-9673-2EE773D4AF57}"/>
    <hyperlink ref="E231" r:id="rId176" display="https://www.transportation.gov/sites/dot.gov/files/2022-03/Benefit Cost Analysis Guidance 2022 %28Revised%29.pdf" xr:uid="{5FDEC8C9-195F-459E-99F5-9F352AA943C4}"/>
    <hyperlink ref="E232" r:id="rId177" display="https://www.transportation.gov/sites/dot.gov/files/2022-03/Benefit Cost Analysis Guidance 2022 %28Revised%29.pdf" xr:uid="{5C6CCDBF-FE01-4C20-B1BE-ACE7A25BFB68}"/>
    <hyperlink ref="E233" r:id="rId178" display="https://www.transportation.gov/sites/dot.gov/files/2022-03/Benefit Cost Analysis Guidance 2022 %28Revised%29.pdf" xr:uid="{D08FED4C-1AB3-43E4-B230-8F9C6707B7E9}"/>
    <hyperlink ref="E234" r:id="rId179" display="https://www.transportation.gov/sites/dot.gov/files/2022-03/Benefit Cost Analysis Guidance 2022 %28Revised%29.pdf" xr:uid="{861E62ED-60EB-47BD-A8B8-810A33893DF7}"/>
    <hyperlink ref="E235" r:id="rId180" display="https://www.transportation.gov/sites/dot.gov/files/2022-03/Benefit Cost Analysis Guidance 2022 %28Revised%29.pdf" xr:uid="{BC3947FB-EE32-4493-BAA1-8A887DA39C43}"/>
    <hyperlink ref="E236" r:id="rId181" display="https://www.transportation.gov/sites/dot.gov/files/2022-03/Benefit Cost Analysis Guidance 2022 %28Revised%29.pdf" xr:uid="{84B08198-8200-4C22-A17C-5F9436F3025C}"/>
    <hyperlink ref="E237" r:id="rId182" display="https://www.transportation.gov/sites/dot.gov/files/2022-03/Benefit Cost Analysis Guidance 2022 %28Revised%29.pdf" xr:uid="{4C2669D0-C4FD-4645-A4C3-14E28EA502B1}"/>
    <hyperlink ref="E238" r:id="rId183" display="https://www.transportation.gov/sites/dot.gov/files/2022-03/Benefit Cost Analysis Guidance 2022 %28Revised%29.pdf" xr:uid="{AF28D1AF-D9F0-4CE3-BFA7-A9CB0A53CA41}"/>
    <hyperlink ref="E239" r:id="rId184" display="https://www.transportation.gov/sites/dot.gov/files/2022-03/Benefit Cost Analysis Guidance 2022 %28Revised%29.pdf" xr:uid="{97DEE659-2971-44E5-A52B-9BE3A0457F66}"/>
    <hyperlink ref="E240" r:id="rId185" display="https://www.transportation.gov/sites/dot.gov/files/2022-03/Benefit Cost Analysis Guidance 2022 %28Revised%29.pdf" xr:uid="{81774AAC-4471-41BE-8135-BBE71AA52DCB}"/>
  </hyperlinks>
  <pageMargins left="0.7" right="0.7" top="0.75" bottom="0.75" header="0.3" footer="0.3"/>
  <pageSetup orientation="portrait" r:id="rId186"/>
  <headerFooter>
    <oddHeader>&amp;CI-680 MOD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94993-4260-4603-A4C9-BCF28D78A1BE}">
  <dimension ref="A2:L14"/>
  <sheetViews>
    <sheetView workbookViewId="0">
      <selection activeCell="D15" sqref="D15"/>
    </sheetView>
  </sheetViews>
  <sheetFormatPr defaultRowHeight="15" x14ac:dyDescent="0.25"/>
  <cols>
    <col min="2" max="2" width="18.140625" customWidth="1"/>
  </cols>
  <sheetData>
    <row r="2" spans="1:12" x14ac:dyDescent="0.25">
      <c r="A2" t="s">
        <v>44</v>
      </c>
    </row>
    <row r="3" spans="1:12" x14ac:dyDescent="0.25">
      <c r="A3" t="s">
        <v>45</v>
      </c>
    </row>
    <row r="4" spans="1:12" x14ac:dyDescent="0.25">
      <c r="A4" t="s">
        <v>46</v>
      </c>
    </row>
    <row r="6" spans="1:12" x14ac:dyDescent="0.25">
      <c r="A6" t="s">
        <v>344</v>
      </c>
    </row>
    <row r="7" spans="1:12" x14ac:dyDescent="0.25">
      <c r="A7" t="s">
        <v>345</v>
      </c>
      <c r="C7" s="180">
        <v>0.3</v>
      </c>
    </row>
    <row r="8" spans="1:12" x14ac:dyDescent="0.25">
      <c r="A8" t="s">
        <v>346</v>
      </c>
      <c r="C8" s="180">
        <v>0.3</v>
      </c>
    </row>
    <row r="9" spans="1:12" x14ac:dyDescent="0.25">
      <c r="A9" t="s">
        <v>347</v>
      </c>
      <c r="C9" s="180" t="s">
        <v>349</v>
      </c>
    </row>
    <row r="10" spans="1:12" x14ac:dyDescent="0.25">
      <c r="A10" t="s">
        <v>348</v>
      </c>
      <c r="C10" t="s">
        <v>350</v>
      </c>
    </row>
    <row r="12" spans="1:12" x14ac:dyDescent="0.25">
      <c r="A12" t="s">
        <v>370</v>
      </c>
      <c r="C12" t="s">
        <v>380</v>
      </c>
      <c r="L12" s="276" t="s">
        <v>381</v>
      </c>
    </row>
    <row r="13" spans="1:12" x14ac:dyDescent="0.25">
      <c r="A13" t="s">
        <v>382</v>
      </c>
      <c r="C13" t="s">
        <v>383</v>
      </c>
      <c r="L13" t="s">
        <v>381</v>
      </c>
    </row>
    <row r="14" spans="1:12" x14ac:dyDescent="0.25">
      <c r="A14" t="s">
        <v>384</v>
      </c>
      <c r="C14" t="s">
        <v>385</v>
      </c>
    </row>
  </sheetData>
  <hyperlinks>
    <hyperlink ref="L12" r:id="rId1" location="article_main" xr:uid="{A769E153-542B-4C64-B1DD-A8A9DD643BC8}"/>
  </hyperlinks>
  <pageMargins left="0.7" right="0.7" top="0.75" bottom="0.75" header="0.3" footer="0.3"/>
  <pageSetup orientation="portrait" r:id="rId2"/>
  <headerFooter>
    <oddHeader>&amp;CI-680 MOD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15DF5-018F-4FB7-8682-1494435D739E}">
  <sheetPr>
    <tabColor theme="9" tint="0.59999389629810485"/>
    <pageSetUpPr fitToPage="1"/>
  </sheetPr>
  <dimension ref="A1:U48"/>
  <sheetViews>
    <sheetView tabSelected="1" topLeftCell="A19" zoomScale="80" zoomScaleNormal="80" workbookViewId="0">
      <selection activeCell="AA40" sqref="AA40"/>
    </sheetView>
  </sheetViews>
  <sheetFormatPr defaultColWidth="9.140625" defaultRowHeight="15" x14ac:dyDescent="0.25"/>
  <cols>
    <col min="1" max="1" width="11.42578125" style="183" customWidth="1"/>
    <col min="2" max="2" width="13.5703125" style="183" bestFit="1" customWidth="1"/>
    <col min="3" max="3" width="13.7109375" style="183" bestFit="1" customWidth="1"/>
    <col min="4" max="4" width="22.7109375" style="183" bestFit="1" customWidth="1"/>
    <col min="5" max="5" width="9.140625" style="183"/>
    <col min="6" max="6" width="25.85546875" style="183" customWidth="1"/>
    <col min="7" max="7" width="19.140625" style="183" customWidth="1"/>
    <col min="8" max="9" width="9.140625" style="183"/>
    <col min="10" max="10" width="12.28515625" style="183" bestFit="1" customWidth="1"/>
    <col min="11" max="11" width="9.85546875" style="183" customWidth="1"/>
    <col min="12" max="13" width="10.28515625" style="183" customWidth="1"/>
    <col min="14" max="16" width="9.140625" style="183"/>
    <col min="17" max="17" width="12.7109375" style="183" bestFit="1" customWidth="1"/>
    <col min="18" max="18" width="9.140625" style="183"/>
    <col min="19" max="19" width="10.5703125" style="183" bestFit="1" customWidth="1"/>
    <col min="20" max="20" width="14.140625" style="183" bestFit="1" customWidth="1"/>
    <col min="21" max="16384" width="9.140625" style="183"/>
  </cols>
  <sheetData>
    <row r="1" spans="1:17" x14ac:dyDescent="0.25">
      <c r="A1" s="167" t="s">
        <v>431</v>
      </c>
    </row>
    <row r="2" spans="1:17" ht="15.75" thickBot="1" x14ac:dyDescent="0.3"/>
    <row r="3" spans="1:17" ht="32.450000000000003" customHeight="1" x14ac:dyDescent="0.25">
      <c r="A3" s="621"/>
      <c r="B3" s="11"/>
      <c r="C3" s="11"/>
      <c r="D3" s="11"/>
      <c r="F3" s="607" t="s">
        <v>432</v>
      </c>
      <c r="G3" s="609"/>
      <c r="I3" s="610" t="s">
        <v>433</v>
      </c>
      <c r="J3" s="611"/>
      <c r="K3" s="611"/>
      <c r="L3" s="611"/>
      <c r="M3" s="612"/>
      <c r="N3" s="613"/>
    </row>
    <row r="4" spans="1:17" x14ac:dyDescent="0.25">
      <c r="A4" s="621"/>
      <c r="B4" s="621"/>
      <c r="C4" s="621"/>
      <c r="D4" s="621"/>
      <c r="F4" s="601" t="s">
        <v>435</v>
      </c>
      <c r="G4" s="606"/>
      <c r="I4" s="427" t="s">
        <v>434</v>
      </c>
      <c r="J4" s="428"/>
      <c r="K4" s="428"/>
      <c r="L4" s="428"/>
      <c r="M4" s="429"/>
      <c r="N4" s="430"/>
    </row>
    <row r="5" spans="1:17" ht="28.9" customHeight="1" x14ac:dyDescent="0.25">
      <c r="A5" s="621"/>
      <c r="B5" s="621"/>
      <c r="C5" s="621"/>
      <c r="D5" s="621"/>
      <c r="F5" s="431" t="s">
        <v>436</v>
      </c>
      <c r="G5" s="432" t="s">
        <v>437</v>
      </c>
      <c r="I5" s="431" t="s">
        <v>438</v>
      </c>
      <c r="J5" s="433" t="s">
        <v>439</v>
      </c>
      <c r="K5" s="433" t="s">
        <v>440</v>
      </c>
      <c r="L5" s="433" t="s">
        <v>441</v>
      </c>
      <c r="M5" s="434" t="s">
        <v>442</v>
      </c>
      <c r="N5" s="432" t="s">
        <v>22</v>
      </c>
    </row>
    <row r="6" spans="1:17" ht="30" x14ac:dyDescent="0.25">
      <c r="A6" s="11"/>
      <c r="B6" s="11"/>
      <c r="C6" s="11"/>
      <c r="D6" s="622"/>
      <c r="F6" s="435" t="s">
        <v>443</v>
      </c>
      <c r="G6" s="436">
        <v>1.48</v>
      </c>
      <c r="I6" s="437">
        <v>2020</v>
      </c>
      <c r="J6" s="438">
        <v>15700</v>
      </c>
      <c r="K6" s="438">
        <v>40400</v>
      </c>
      <c r="L6" s="438">
        <v>729300</v>
      </c>
      <c r="M6" s="439">
        <f>(G34/G38)*151100*1.1015</f>
        <v>178087.21549999999</v>
      </c>
      <c r="N6" s="440">
        <v>50</v>
      </c>
      <c r="P6" s="614"/>
      <c r="Q6" s="615"/>
    </row>
    <row r="7" spans="1:17" ht="30" x14ac:dyDescent="0.25">
      <c r="A7" s="11"/>
      <c r="B7" s="11"/>
      <c r="C7" s="11"/>
      <c r="D7" s="622"/>
      <c r="F7" s="435" t="s">
        <v>444</v>
      </c>
      <c r="G7" s="436">
        <v>1.58</v>
      </c>
      <c r="I7" s="441">
        <v>2021</v>
      </c>
      <c r="J7" s="442">
        <v>15600</v>
      </c>
      <c r="K7" s="442">
        <v>41500</v>
      </c>
      <c r="L7" s="442">
        <v>748600</v>
      </c>
      <c r="M7" s="443">
        <f>M6*(L7/L6)</f>
        <v>182800.06790525161</v>
      </c>
      <c r="N7" s="444">
        <v>52</v>
      </c>
      <c r="P7" s="614"/>
      <c r="Q7" s="615"/>
    </row>
    <row r="8" spans="1:17" ht="30" x14ac:dyDescent="0.25">
      <c r="A8" s="11"/>
      <c r="B8" s="11"/>
      <c r="C8" s="11"/>
      <c r="D8" s="622"/>
      <c r="F8" s="435" t="s">
        <v>445</v>
      </c>
      <c r="G8" s="436">
        <v>2.02</v>
      </c>
      <c r="I8" s="441">
        <v>2022</v>
      </c>
      <c r="J8" s="442">
        <v>15800</v>
      </c>
      <c r="K8" s="442">
        <v>42300</v>
      </c>
      <c r="L8" s="442">
        <v>761600</v>
      </c>
      <c r="M8" s="443">
        <f t="shared" ref="M8:M35" si="0">M7*(L8/L7)</f>
        <v>185974.52807459206</v>
      </c>
      <c r="N8" s="444">
        <v>53</v>
      </c>
      <c r="P8" s="616"/>
      <c r="Q8" s="615"/>
    </row>
    <row r="9" spans="1:17" ht="32.450000000000003" customHeight="1" thickBot="1" x14ac:dyDescent="0.3">
      <c r="A9" s="11"/>
      <c r="B9" s="11"/>
      <c r="C9" s="11"/>
      <c r="D9" s="622"/>
      <c r="F9" s="445" t="s">
        <v>446</v>
      </c>
      <c r="G9" s="446">
        <v>1.67</v>
      </c>
      <c r="I9" s="441">
        <v>2023</v>
      </c>
      <c r="J9" s="442">
        <v>16000</v>
      </c>
      <c r="K9" s="442">
        <v>43100</v>
      </c>
      <c r="L9" s="442">
        <v>774700</v>
      </c>
      <c r="M9" s="443">
        <f t="shared" si="0"/>
        <v>189173.40716831206</v>
      </c>
      <c r="N9" s="444">
        <v>54</v>
      </c>
      <c r="P9" s="616"/>
      <c r="Q9" s="615"/>
    </row>
    <row r="10" spans="1:17" ht="15.75" thickBot="1" x14ac:dyDescent="0.3">
      <c r="A10" s="11"/>
      <c r="B10" s="11"/>
      <c r="C10" s="11"/>
      <c r="D10" s="622"/>
      <c r="I10" s="441">
        <v>2024</v>
      </c>
      <c r="J10" s="442">
        <v>16200</v>
      </c>
      <c r="K10" s="442">
        <v>44000</v>
      </c>
      <c r="L10" s="442">
        <v>788100</v>
      </c>
      <c r="M10" s="443">
        <f t="shared" si="0"/>
        <v>192445.5430351707</v>
      </c>
      <c r="N10" s="444">
        <v>55</v>
      </c>
      <c r="P10" s="616"/>
      <c r="Q10" s="615"/>
    </row>
    <row r="11" spans="1:17" ht="14.45" customHeight="1" x14ac:dyDescent="0.25">
      <c r="A11" s="11"/>
      <c r="B11" s="11"/>
      <c r="C11" s="11"/>
      <c r="D11" s="622"/>
      <c r="F11" s="607" t="s">
        <v>447</v>
      </c>
      <c r="G11" s="609"/>
      <c r="I11" s="441">
        <v>2025</v>
      </c>
      <c r="J11" s="442">
        <v>16500</v>
      </c>
      <c r="K11" s="442">
        <v>44900</v>
      </c>
      <c r="L11" s="442">
        <v>801700</v>
      </c>
      <c r="M11" s="443">
        <f t="shared" si="0"/>
        <v>195766.51675078843</v>
      </c>
      <c r="N11" s="444">
        <v>56</v>
      </c>
      <c r="P11" s="614"/>
      <c r="Q11" s="615"/>
    </row>
    <row r="12" spans="1:17" x14ac:dyDescent="0.25">
      <c r="A12" s="618"/>
      <c r="B12" s="619"/>
      <c r="C12" s="619"/>
      <c r="D12" s="620"/>
      <c r="F12" s="601" t="s">
        <v>435</v>
      </c>
      <c r="G12" s="606"/>
      <c r="I12" s="441">
        <v>2026</v>
      </c>
      <c r="J12" s="442">
        <v>16800</v>
      </c>
      <c r="K12" s="442">
        <v>45700</v>
      </c>
      <c r="L12" s="442">
        <v>814500</v>
      </c>
      <c r="M12" s="443">
        <f t="shared" si="0"/>
        <v>198892.13907136981</v>
      </c>
      <c r="N12" s="444">
        <v>57</v>
      </c>
      <c r="P12" s="2"/>
      <c r="Q12" s="617"/>
    </row>
    <row r="13" spans="1:17" x14ac:dyDescent="0.25">
      <c r="A13" s="596" t="s">
        <v>448</v>
      </c>
      <c r="B13" s="597"/>
      <c r="C13" s="597"/>
      <c r="D13" s="432" t="s">
        <v>449</v>
      </c>
      <c r="F13" s="431" t="s">
        <v>436</v>
      </c>
      <c r="G13" s="447" t="s">
        <v>450</v>
      </c>
      <c r="I13" s="441">
        <v>2027</v>
      </c>
      <c r="J13" s="442">
        <v>17100</v>
      </c>
      <c r="K13" s="442">
        <v>46500</v>
      </c>
      <c r="L13" s="442">
        <v>827400</v>
      </c>
      <c r="M13" s="443">
        <f t="shared" si="0"/>
        <v>202042.18031633072</v>
      </c>
      <c r="N13" s="444">
        <v>58</v>
      </c>
      <c r="P13" s="2"/>
      <c r="Q13" s="2"/>
    </row>
    <row r="14" spans="1:17" x14ac:dyDescent="0.25">
      <c r="A14" s="589" t="s">
        <v>451</v>
      </c>
      <c r="B14" s="590"/>
      <c r="C14" s="590"/>
      <c r="D14" s="448">
        <v>3700</v>
      </c>
      <c r="F14" s="435" t="s">
        <v>452</v>
      </c>
      <c r="G14" s="449">
        <v>0.45</v>
      </c>
      <c r="I14" s="441">
        <v>2028</v>
      </c>
      <c r="J14" s="442">
        <v>17400</v>
      </c>
      <c r="K14" s="442">
        <v>47300</v>
      </c>
      <c r="L14" s="442">
        <v>840600</v>
      </c>
      <c r="M14" s="443">
        <f t="shared" si="0"/>
        <v>205265.47833443026</v>
      </c>
      <c r="N14" s="444">
        <v>60</v>
      </c>
    </row>
    <row r="15" spans="1:17" x14ac:dyDescent="0.25">
      <c r="A15" s="589" t="s">
        <v>453</v>
      </c>
      <c r="B15" s="590"/>
      <c r="C15" s="590"/>
      <c r="D15" s="448">
        <v>77200</v>
      </c>
      <c r="F15" s="435" t="s">
        <v>454</v>
      </c>
      <c r="G15" s="449">
        <v>0.94</v>
      </c>
      <c r="I15" s="441">
        <v>2029</v>
      </c>
      <c r="J15" s="442">
        <v>17700</v>
      </c>
      <c r="K15" s="442">
        <v>48200</v>
      </c>
      <c r="L15" s="442">
        <v>854000</v>
      </c>
      <c r="M15" s="443">
        <f t="shared" si="0"/>
        <v>208537.61420128887</v>
      </c>
      <c r="N15" s="444">
        <v>61</v>
      </c>
    </row>
    <row r="16" spans="1:17" ht="15.75" thickBot="1" x14ac:dyDescent="0.3">
      <c r="A16" s="589" t="s">
        <v>455</v>
      </c>
      <c r="B16" s="590"/>
      <c r="C16" s="590"/>
      <c r="D16" s="448">
        <v>151100</v>
      </c>
      <c r="I16" s="441">
        <v>2030</v>
      </c>
      <c r="J16" s="442">
        <v>18100</v>
      </c>
      <c r="K16" s="442">
        <v>49100</v>
      </c>
      <c r="L16" s="442">
        <v>867600</v>
      </c>
      <c r="M16" s="443">
        <f t="shared" si="0"/>
        <v>211858.58791690657</v>
      </c>
      <c r="N16" s="444">
        <v>62</v>
      </c>
    </row>
    <row r="17" spans="1:20" x14ac:dyDescent="0.25">
      <c r="A17" s="589" t="s">
        <v>456</v>
      </c>
      <c r="B17" s="590"/>
      <c r="C17" s="590"/>
      <c r="D17" s="448">
        <v>554800</v>
      </c>
      <c r="F17" s="607" t="s">
        <v>457</v>
      </c>
      <c r="G17" s="608"/>
      <c r="I17" s="441">
        <v>2031</v>
      </c>
      <c r="J17" s="442">
        <v>18100</v>
      </c>
      <c r="K17" s="442">
        <v>49100</v>
      </c>
      <c r="L17" s="442">
        <v>867600</v>
      </c>
      <c r="M17" s="443">
        <f t="shared" si="0"/>
        <v>211858.58791690657</v>
      </c>
      <c r="N17" s="444">
        <v>63</v>
      </c>
    </row>
    <row r="18" spans="1:20" x14ac:dyDescent="0.25">
      <c r="A18" s="589" t="s">
        <v>458</v>
      </c>
      <c r="B18" s="590"/>
      <c r="C18" s="590"/>
      <c r="D18" s="448">
        <v>11600000</v>
      </c>
      <c r="F18" s="601" t="s">
        <v>435</v>
      </c>
      <c r="G18" s="602"/>
      <c r="I18" s="441">
        <v>2032</v>
      </c>
      <c r="J18" s="442">
        <v>18100</v>
      </c>
      <c r="K18" s="442">
        <v>49100</v>
      </c>
      <c r="L18" s="442">
        <v>867600</v>
      </c>
      <c r="M18" s="443">
        <f t="shared" si="0"/>
        <v>211858.58791690657</v>
      </c>
      <c r="N18" s="444">
        <v>64</v>
      </c>
    </row>
    <row r="19" spans="1:20" ht="43.9" customHeight="1" x14ac:dyDescent="0.25">
      <c r="A19" s="589" t="s">
        <v>459</v>
      </c>
      <c r="B19" s="590"/>
      <c r="C19" s="590"/>
      <c r="D19" s="448">
        <v>210300</v>
      </c>
      <c r="F19" s="450" t="s">
        <v>460</v>
      </c>
      <c r="G19" s="189" t="s">
        <v>461</v>
      </c>
      <c r="I19" s="441">
        <v>2033</v>
      </c>
      <c r="J19" s="442">
        <v>18100</v>
      </c>
      <c r="K19" s="442">
        <v>49100</v>
      </c>
      <c r="L19" s="442">
        <v>867600</v>
      </c>
      <c r="M19" s="443">
        <f t="shared" si="0"/>
        <v>211858.58791690657</v>
      </c>
      <c r="N19" s="444">
        <v>65</v>
      </c>
    </row>
    <row r="20" spans="1:20" x14ac:dyDescent="0.25">
      <c r="A20" s="589" t="s">
        <v>462</v>
      </c>
      <c r="B20" s="590"/>
      <c r="C20" s="590"/>
      <c r="D20" s="448">
        <v>159800</v>
      </c>
      <c r="F20" s="451">
        <v>2002</v>
      </c>
      <c r="G20" s="452">
        <v>1.3851</v>
      </c>
      <c r="I20" s="441">
        <v>2034</v>
      </c>
      <c r="J20" s="442">
        <v>18100</v>
      </c>
      <c r="K20" s="442">
        <v>49100</v>
      </c>
      <c r="L20" s="442">
        <v>867600</v>
      </c>
      <c r="M20" s="443">
        <f t="shared" si="0"/>
        <v>211858.58791690657</v>
      </c>
      <c r="N20" s="444">
        <v>66</v>
      </c>
    </row>
    <row r="21" spans="1:20" x14ac:dyDescent="0.25">
      <c r="A21" s="603"/>
      <c r="B21" s="604"/>
      <c r="C21" s="604"/>
      <c r="D21" s="605"/>
      <c r="F21" s="453">
        <v>2003</v>
      </c>
      <c r="G21" s="454">
        <v>1.38</v>
      </c>
      <c r="I21" s="441">
        <v>2035</v>
      </c>
      <c r="J21" s="442">
        <v>18100</v>
      </c>
      <c r="K21" s="442">
        <v>49100</v>
      </c>
      <c r="L21" s="442">
        <v>867600</v>
      </c>
      <c r="M21" s="443">
        <f t="shared" si="0"/>
        <v>211858.58791690657</v>
      </c>
      <c r="N21" s="444">
        <v>67</v>
      </c>
    </row>
    <row r="22" spans="1:20" x14ac:dyDescent="0.25">
      <c r="A22" s="596" t="s">
        <v>463</v>
      </c>
      <c r="B22" s="597"/>
      <c r="C22" s="597"/>
      <c r="D22" s="432" t="s">
        <v>449</v>
      </c>
      <c r="F22" s="441">
        <v>2004</v>
      </c>
      <c r="G22" s="454">
        <v>1.34</v>
      </c>
      <c r="I22" s="441">
        <v>2036</v>
      </c>
      <c r="J22" s="442">
        <v>18100</v>
      </c>
      <c r="K22" s="442">
        <v>49100</v>
      </c>
      <c r="L22" s="442">
        <v>867600</v>
      </c>
      <c r="M22" s="443">
        <f t="shared" si="0"/>
        <v>211858.58791690657</v>
      </c>
      <c r="N22" s="444">
        <v>69</v>
      </c>
    </row>
    <row r="23" spans="1:20" x14ac:dyDescent="0.25">
      <c r="A23" s="589" t="s">
        <v>25</v>
      </c>
      <c r="B23" s="590"/>
      <c r="C23" s="590"/>
      <c r="D23" s="448">
        <v>302600</v>
      </c>
      <c r="F23" s="441">
        <v>2005</v>
      </c>
      <c r="G23" s="454">
        <v>1.3</v>
      </c>
      <c r="I23" s="441">
        <v>2037</v>
      </c>
      <c r="J23" s="442">
        <v>18100</v>
      </c>
      <c r="K23" s="442">
        <v>49100</v>
      </c>
      <c r="L23" s="442">
        <v>867600</v>
      </c>
      <c r="M23" s="443">
        <f t="shared" si="0"/>
        <v>211858.58791690657</v>
      </c>
      <c r="N23" s="444">
        <v>70</v>
      </c>
    </row>
    <row r="24" spans="1:20" ht="15.75" thickBot="1" x14ac:dyDescent="0.3">
      <c r="A24" s="591" t="s">
        <v>26</v>
      </c>
      <c r="B24" s="592"/>
      <c r="C24" s="592"/>
      <c r="D24" s="455">
        <v>12837400</v>
      </c>
      <c r="F24" s="441">
        <v>2006</v>
      </c>
      <c r="G24" s="454">
        <v>1.26</v>
      </c>
      <c r="I24" s="441">
        <v>2038</v>
      </c>
      <c r="J24" s="442">
        <v>18100</v>
      </c>
      <c r="K24" s="442">
        <v>49100</v>
      </c>
      <c r="L24" s="442">
        <v>867600</v>
      </c>
      <c r="M24" s="443">
        <f t="shared" si="0"/>
        <v>211858.58791690657</v>
      </c>
      <c r="N24" s="444">
        <v>71</v>
      </c>
    </row>
    <row r="25" spans="1:20" ht="15.75" thickBot="1" x14ac:dyDescent="0.3">
      <c r="F25" s="441">
        <v>2007</v>
      </c>
      <c r="G25" s="454">
        <v>1.23</v>
      </c>
      <c r="I25" s="441">
        <v>2039</v>
      </c>
      <c r="J25" s="442">
        <v>18100</v>
      </c>
      <c r="K25" s="442">
        <v>49100</v>
      </c>
      <c r="L25" s="442">
        <v>867600</v>
      </c>
      <c r="M25" s="443">
        <f t="shared" si="0"/>
        <v>211858.58791690657</v>
      </c>
      <c r="N25" s="444">
        <v>72</v>
      </c>
    </row>
    <row r="26" spans="1:20" x14ac:dyDescent="0.25">
      <c r="A26" s="456" t="s">
        <v>464</v>
      </c>
      <c r="B26" s="457"/>
      <c r="C26" s="457"/>
      <c r="D26" s="458"/>
      <c r="F26" s="441">
        <v>2008</v>
      </c>
      <c r="G26" s="454">
        <v>1.2</v>
      </c>
      <c r="I26" s="441">
        <v>2040</v>
      </c>
      <c r="J26" s="442">
        <v>18100</v>
      </c>
      <c r="K26" s="442">
        <v>49100</v>
      </c>
      <c r="L26" s="442">
        <v>867600</v>
      </c>
      <c r="M26" s="443">
        <f t="shared" si="0"/>
        <v>211858.58791690657</v>
      </c>
      <c r="N26" s="444">
        <v>73</v>
      </c>
    </row>
    <row r="27" spans="1:20" x14ac:dyDescent="0.25">
      <c r="A27" s="596" t="s">
        <v>463</v>
      </c>
      <c r="B27" s="597"/>
      <c r="C27" s="597"/>
      <c r="D27" s="432" t="s">
        <v>465</v>
      </c>
      <c r="F27" s="441">
        <v>2009</v>
      </c>
      <c r="G27" s="454">
        <v>1.2</v>
      </c>
      <c r="I27" s="441">
        <v>2041</v>
      </c>
      <c r="J27" s="442">
        <v>18100</v>
      </c>
      <c r="K27" s="442">
        <v>49100</v>
      </c>
      <c r="L27" s="442">
        <v>867600</v>
      </c>
      <c r="M27" s="443">
        <f t="shared" si="0"/>
        <v>211858.58791690657</v>
      </c>
      <c r="N27" s="444">
        <v>74</v>
      </c>
    </row>
    <row r="28" spans="1:20" ht="15.75" thickBot="1" x14ac:dyDescent="0.3">
      <c r="A28" s="591" t="s">
        <v>424</v>
      </c>
      <c r="B28" s="592"/>
      <c r="C28" s="592"/>
      <c r="D28" s="455">
        <v>4600</v>
      </c>
      <c r="F28" s="441">
        <v>2010</v>
      </c>
      <c r="G28" s="454">
        <v>1.18</v>
      </c>
      <c r="I28" s="441">
        <v>2042</v>
      </c>
      <c r="J28" s="442">
        <v>18100</v>
      </c>
      <c r="K28" s="442">
        <v>49100</v>
      </c>
      <c r="L28" s="442">
        <v>867600</v>
      </c>
      <c r="M28" s="443">
        <f t="shared" si="0"/>
        <v>211858.58791690657</v>
      </c>
      <c r="N28" s="444">
        <v>75</v>
      </c>
    </row>
    <row r="29" spans="1:20" ht="15.75" thickBot="1" x14ac:dyDescent="0.3">
      <c r="F29" s="441">
        <v>2011</v>
      </c>
      <c r="G29" s="454">
        <v>1.1599999999999999</v>
      </c>
      <c r="I29" s="441">
        <v>2043</v>
      </c>
      <c r="J29" s="442">
        <v>18100</v>
      </c>
      <c r="K29" s="442">
        <v>49100</v>
      </c>
      <c r="L29" s="442">
        <v>867600</v>
      </c>
      <c r="M29" s="443">
        <f t="shared" si="0"/>
        <v>211858.58791690657</v>
      </c>
      <c r="N29" s="444">
        <v>77</v>
      </c>
    </row>
    <row r="30" spans="1:20" x14ac:dyDescent="0.25">
      <c r="A30" s="456" t="s">
        <v>466</v>
      </c>
      <c r="B30" s="457"/>
      <c r="C30" s="457"/>
      <c r="D30" s="458"/>
      <c r="F30" s="441">
        <v>2012</v>
      </c>
      <c r="G30" s="454">
        <v>1.1399999999999999</v>
      </c>
      <c r="I30" s="441">
        <v>2044</v>
      </c>
      <c r="J30" s="442">
        <v>18100</v>
      </c>
      <c r="K30" s="442">
        <v>49100</v>
      </c>
      <c r="L30" s="442">
        <v>867600</v>
      </c>
      <c r="M30" s="443">
        <f t="shared" si="0"/>
        <v>211858.58791690657</v>
      </c>
      <c r="N30" s="444">
        <v>78</v>
      </c>
    </row>
    <row r="31" spans="1:20" ht="28.9" customHeight="1" x14ac:dyDescent="0.25">
      <c r="A31" s="598" t="s">
        <v>467</v>
      </c>
      <c r="B31" s="599"/>
      <c r="C31" s="599"/>
      <c r="D31" s="600"/>
      <c r="F31" s="441">
        <v>2013</v>
      </c>
      <c r="G31" s="454">
        <v>1.1200000000000001</v>
      </c>
      <c r="I31" s="441">
        <v>2045</v>
      </c>
      <c r="J31" s="442">
        <v>18100</v>
      </c>
      <c r="K31" s="442">
        <v>49100</v>
      </c>
      <c r="L31" s="442">
        <v>867600</v>
      </c>
      <c r="M31" s="443">
        <f t="shared" si="0"/>
        <v>211858.58791690657</v>
      </c>
      <c r="N31" s="444">
        <v>79</v>
      </c>
    </row>
    <row r="32" spans="1:20" x14ac:dyDescent="0.25">
      <c r="A32" s="596" t="s">
        <v>468</v>
      </c>
      <c r="B32" s="597"/>
      <c r="C32" s="597"/>
      <c r="D32" s="432" t="s">
        <v>469</v>
      </c>
      <c r="F32" s="441">
        <v>2014</v>
      </c>
      <c r="G32" s="454">
        <v>1.1000000000000001</v>
      </c>
      <c r="I32" s="441">
        <v>2046</v>
      </c>
      <c r="J32" s="442">
        <v>18100</v>
      </c>
      <c r="K32" s="442">
        <v>49100</v>
      </c>
      <c r="L32" s="442">
        <v>867600</v>
      </c>
      <c r="M32" s="443">
        <f t="shared" si="0"/>
        <v>211858.58791690657</v>
      </c>
      <c r="N32" s="444">
        <v>80</v>
      </c>
      <c r="S32" s="593"/>
      <c r="T32" s="593"/>
    </row>
    <row r="33" spans="1:21" x14ac:dyDescent="0.25">
      <c r="A33" s="594" t="s">
        <v>470</v>
      </c>
      <c r="B33" s="595"/>
      <c r="C33" s="595"/>
      <c r="D33" s="436"/>
      <c r="F33" s="441">
        <v>2015</v>
      </c>
      <c r="G33" s="454">
        <v>1.0900000000000001</v>
      </c>
      <c r="I33" s="441">
        <v>2047</v>
      </c>
      <c r="J33" s="442">
        <v>18100</v>
      </c>
      <c r="K33" s="442">
        <v>49100</v>
      </c>
      <c r="L33" s="442">
        <v>867600</v>
      </c>
      <c r="M33" s="443">
        <f t="shared" si="0"/>
        <v>211858.58791690657</v>
      </c>
      <c r="N33" s="444">
        <v>81</v>
      </c>
    </row>
    <row r="34" spans="1:21" x14ac:dyDescent="0.25">
      <c r="A34" s="589" t="s">
        <v>471</v>
      </c>
      <c r="B34" s="590"/>
      <c r="C34" s="590"/>
      <c r="D34" s="449">
        <v>16.2</v>
      </c>
      <c r="F34" s="441">
        <v>2016</v>
      </c>
      <c r="G34" s="454">
        <v>1.07</v>
      </c>
      <c r="I34" s="441">
        <v>2048</v>
      </c>
      <c r="J34" s="442">
        <v>18100</v>
      </c>
      <c r="K34" s="442">
        <v>49100</v>
      </c>
      <c r="L34" s="442">
        <v>867600</v>
      </c>
      <c r="M34" s="443">
        <f t="shared" si="0"/>
        <v>211858.58791690657</v>
      </c>
      <c r="N34" s="444">
        <v>82</v>
      </c>
    </row>
    <row r="35" spans="1:21" x14ac:dyDescent="0.25">
      <c r="A35" s="589" t="s">
        <v>472</v>
      </c>
      <c r="B35" s="590"/>
      <c r="C35" s="590"/>
      <c r="D35" s="449">
        <v>29.4</v>
      </c>
      <c r="F35" s="441">
        <v>2017</v>
      </c>
      <c r="G35" s="454">
        <v>1.05</v>
      </c>
      <c r="I35" s="441">
        <v>2049</v>
      </c>
      <c r="J35" s="442">
        <v>18100</v>
      </c>
      <c r="K35" s="442">
        <v>49100</v>
      </c>
      <c r="L35" s="442">
        <v>867600</v>
      </c>
      <c r="M35" s="443">
        <f t="shared" si="0"/>
        <v>211858.58791690657</v>
      </c>
      <c r="N35" s="444">
        <v>83</v>
      </c>
    </row>
    <row r="36" spans="1:21" ht="15.75" thickBot="1" x14ac:dyDescent="0.3">
      <c r="A36" s="589" t="s">
        <v>473</v>
      </c>
      <c r="B36" s="590"/>
      <c r="C36" s="590"/>
      <c r="D36" s="449">
        <v>17.8</v>
      </c>
      <c r="F36" s="441">
        <v>2018</v>
      </c>
      <c r="G36" s="454">
        <v>1.03</v>
      </c>
      <c r="I36" s="459">
        <v>2050</v>
      </c>
      <c r="J36" s="442">
        <v>18100</v>
      </c>
      <c r="K36" s="442">
        <v>49100</v>
      </c>
      <c r="L36" s="442">
        <v>867600</v>
      </c>
      <c r="M36" s="460">
        <f>M35*(L36/L35)</f>
        <v>211858.58791690657</v>
      </c>
      <c r="N36" s="444">
        <v>85</v>
      </c>
    </row>
    <row r="37" spans="1:21" x14ac:dyDescent="0.25">
      <c r="A37" s="594" t="s">
        <v>474</v>
      </c>
      <c r="B37" s="595"/>
      <c r="C37" s="595"/>
      <c r="D37" s="436"/>
      <c r="F37" s="459">
        <v>2019</v>
      </c>
      <c r="G37" s="461">
        <v>1.01</v>
      </c>
      <c r="I37" s="462">
        <v>2051</v>
      </c>
      <c r="J37" s="463">
        <v>18100</v>
      </c>
      <c r="K37" s="463">
        <v>49100</v>
      </c>
      <c r="L37" s="463">
        <v>867600</v>
      </c>
      <c r="M37" s="464">
        <f t="shared" ref="M37:M43" si="1">M36*(L37/L36)</f>
        <v>211858.58791690657</v>
      </c>
      <c r="N37" s="465">
        <v>84.892857142857096</v>
      </c>
    </row>
    <row r="38" spans="1:21" x14ac:dyDescent="0.25">
      <c r="A38" s="589" t="s">
        <v>475</v>
      </c>
      <c r="B38" s="590"/>
      <c r="C38" s="590"/>
      <c r="D38" s="449">
        <v>32</v>
      </c>
      <c r="F38" s="459">
        <v>2020</v>
      </c>
      <c r="G38" s="461">
        <v>1</v>
      </c>
      <c r="I38" s="466">
        <v>2052</v>
      </c>
      <c r="J38" s="467">
        <v>18100</v>
      </c>
      <c r="K38" s="467">
        <v>49100</v>
      </c>
      <c r="L38" s="467">
        <v>867600</v>
      </c>
      <c r="M38" s="438">
        <f t="shared" si="1"/>
        <v>211858.58791690657</v>
      </c>
      <c r="N38" s="468">
        <v>86.035714285714306</v>
      </c>
    </row>
    <row r="39" spans="1:21" x14ac:dyDescent="0.25">
      <c r="A39" s="589" t="s">
        <v>476</v>
      </c>
      <c r="B39" s="590"/>
      <c r="C39" s="590"/>
      <c r="D39" s="449">
        <v>33.6</v>
      </c>
      <c r="F39" s="466" t="s">
        <v>477</v>
      </c>
      <c r="G39" s="469">
        <f>G38-(G37-G38)</f>
        <v>0.99</v>
      </c>
      <c r="I39" s="466">
        <v>2053</v>
      </c>
      <c r="J39" s="467">
        <v>18100</v>
      </c>
      <c r="K39" s="467">
        <v>49100</v>
      </c>
      <c r="L39" s="467">
        <v>867600</v>
      </c>
      <c r="M39" s="438">
        <f t="shared" si="1"/>
        <v>211858.58791690657</v>
      </c>
      <c r="N39" s="468">
        <v>87.178571428571402</v>
      </c>
    </row>
    <row r="40" spans="1:21" x14ac:dyDescent="0.25">
      <c r="A40" s="589" t="s">
        <v>478</v>
      </c>
      <c r="B40" s="590"/>
      <c r="C40" s="590"/>
      <c r="D40" s="449">
        <v>50.7</v>
      </c>
      <c r="F40" s="466" t="s">
        <v>479</v>
      </c>
      <c r="G40" s="469">
        <f>G39-(G38-G39)</f>
        <v>0.98</v>
      </c>
      <c r="I40" s="466">
        <v>2054</v>
      </c>
      <c r="J40" s="467">
        <v>18100</v>
      </c>
      <c r="K40" s="467">
        <v>49100</v>
      </c>
      <c r="L40" s="467">
        <v>867600</v>
      </c>
      <c r="M40" s="438">
        <f t="shared" si="1"/>
        <v>211858.58791690657</v>
      </c>
      <c r="N40" s="468">
        <v>88.321428571428598</v>
      </c>
    </row>
    <row r="41" spans="1:21" ht="15.75" thickBot="1" x14ac:dyDescent="0.3">
      <c r="A41" s="591" t="s">
        <v>480</v>
      </c>
      <c r="B41" s="592"/>
      <c r="C41" s="592"/>
      <c r="D41" s="470">
        <v>52.5</v>
      </c>
      <c r="F41" s="466" t="s">
        <v>481</v>
      </c>
      <c r="G41" s="469">
        <f t="shared" ref="G41:G44" si="2">G40-(G39-G40)</f>
        <v>0.97</v>
      </c>
      <c r="I41" s="466">
        <v>2055</v>
      </c>
      <c r="J41" s="467">
        <v>18100</v>
      </c>
      <c r="K41" s="467">
        <v>49100</v>
      </c>
      <c r="L41" s="467">
        <v>867600</v>
      </c>
      <c r="M41" s="438">
        <f t="shared" si="1"/>
        <v>211858.58791690657</v>
      </c>
      <c r="N41" s="468">
        <v>89.464285714285694</v>
      </c>
    </row>
    <row r="42" spans="1:21" x14ac:dyDescent="0.25">
      <c r="F42" s="466" t="s">
        <v>482</v>
      </c>
      <c r="G42" s="469">
        <f t="shared" si="2"/>
        <v>0.96</v>
      </c>
      <c r="I42" s="466">
        <v>2056</v>
      </c>
      <c r="J42" s="467">
        <v>18100</v>
      </c>
      <c r="K42" s="467">
        <v>49100</v>
      </c>
      <c r="L42" s="467">
        <v>867600</v>
      </c>
      <c r="M42" s="438">
        <f t="shared" si="1"/>
        <v>211858.58791690657</v>
      </c>
      <c r="N42" s="468">
        <v>90.607142857142904</v>
      </c>
    </row>
    <row r="43" spans="1:21" ht="15.75" thickBot="1" x14ac:dyDescent="0.3">
      <c r="A43" s="183" t="s">
        <v>483</v>
      </c>
      <c r="F43" s="466" t="s">
        <v>484</v>
      </c>
      <c r="G43" s="469">
        <f t="shared" si="2"/>
        <v>0.95</v>
      </c>
      <c r="I43" s="471">
        <v>2057</v>
      </c>
      <c r="J43" s="472">
        <v>18100</v>
      </c>
      <c r="K43" s="472">
        <v>49100</v>
      </c>
      <c r="L43" s="472">
        <v>867600</v>
      </c>
      <c r="M43" s="473">
        <f t="shared" si="1"/>
        <v>211858.58791690657</v>
      </c>
      <c r="N43" s="474">
        <v>91.75</v>
      </c>
    </row>
    <row r="44" spans="1:21" ht="15.75" thickBot="1" x14ac:dyDescent="0.3">
      <c r="F44" s="471" t="s">
        <v>485</v>
      </c>
      <c r="G44" s="475">
        <f t="shared" si="2"/>
        <v>0.94</v>
      </c>
      <c r="I44" s="183" t="s">
        <v>486</v>
      </c>
    </row>
    <row r="45" spans="1:21" x14ac:dyDescent="0.25">
      <c r="F45" s="183" t="s">
        <v>487</v>
      </c>
      <c r="I45" s="476" t="s">
        <v>488</v>
      </c>
    </row>
    <row r="47" spans="1:21" x14ac:dyDescent="0.25">
      <c r="U47" s="21"/>
    </row>
    <row r="48" spans="1:21" x14ac:dyDescent="0.25">
      <c r="U48" s="21"/>
    </row>
  </sheetData>
  <mergeCells count="34">
    <mergeCell ref="A12:D12"/>
    <mergeCell ref="F12:G12"/>
    <mergeCell ref="F17:G17"/>
    <mergeCell ref="F3:G3"/>
    <mergeCell ref="I3:N3"/>
    <mergeCell ref="F4:G4"/>
    <mergeCell ref="F11:G11"/>
    <mergeCell ref="A13:C13"/>
    <mergeCell ref="A14:C14"/>
    <mergeCell ref="A15:C15"/>
    <mergeCell ref="A16:C16"/>
    <mergeCell ref="A17:C17"/>
    <mergeCell ref="F18:G18"/>
    <mergeCell ref="A19:C19"/>
    <mergeCell ref="A20:C20"/>
    <mergeCell ref="A21:D21"/>
    <mergeCell ref="A23:C23"/>
    <mergeCell ref="A22:C22"/>
    <mergeCell ref="A18:C18"/>
    <mergeCell ref="A24:C24"/>
    <mergeCell ref="A27:C27"/>
    <mergeCell ref="A28:C28"/>
    <mergeCell ref="A31:D31"/>
    <mergeCell ref="A38:C38"/>
    <mergeCell ref="A39:C39"/>
    <mergeCell ref="A40:C40"/>
    <mergeCell ref="A41:C41"/>
    <mergeCell ref="S32:T32"/>
    <mergeCell ref="A33:C33"/>
    <mergeCell ref="A34:C34"/>
    <mergeCell ref="A35:C35"/>
    <mergeCell ref="A36:C36"/>
    <mergeCell ref="A37:C37"/>
    <mergeCell ref="A32:C32"/>
  </mergeCells>
  <hyperlinks>
    <hyperlink ref="I45" r:id="rId1" xr:uid="{4998691A-D386-47D7-97F0-AD29910387C0}"/>
  </hyperlinks>
  <pageMargins left="0.7" right="0.7" top="0.75" bottom="0.75" header="0.3" footer="0.3"/>
  <pageSetup scale="62" orientation="landscape" horizontalDpi="300" verticalDpi="300" r:id="rId2"/>
  <headerFooter>
    <oddHeader>&amp;LBCA Analysis&amp;CI-680 MOD&amp;R&amp;D</oddHeader>
    <oddFooter>&amp;RPage 11 of 11</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BCA Summary</vt:lpstr>
      <vt:lpstr>Project Benefit Calculations</vt:lpstr>
      <vt:lpstr>Sheet1</vt:lpstr>
      <vt:lpstr>Project Cost Calculations</vt:lpstr>
      <vt:lpstr>MOD Cost Parameters</vt:lpstr>
      <vt:lpstr>CCTA Output and Adj Factors</vt:lpstr>
      <vt:lpstr>BCA Constants</vt:lpstr>
      <vt:lpstr>Notes</vt:lpstr>
      <vt:lpstr>Parameters</vt:lpstr>
      <vt:lpstr>'BCA Summary'!Print_Area</vt:lpstr>
      <vt:lpstr>Parameters!Print_Area</vt:lpstr>
      <vt:lpstr>'Project Benefit Calculations'!Print_Area</vt:lpstr>
      <vt:lpstr>'Project Cost Calculations'!Print_Area</vt:lpstr>
      <vt:lpstr>'CCTA Output and Adj Factors'!Print_Titles</vt:lpstr>
    </vt:vector>
  </TitlesOfParts>
  <Manager/>
  <Company>Fehr &amp; Peers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Lisska</dc:creator>
  <cp:keywords/>
  <dc:description/>
  <cp:lastModifiedBy>Transportation</cp:lastModifiedBy>
  <cp:revision/>
  <cp:lastPrinted>2021-06-04T00:59:18Z</cp:lastPrinted>
  <dcterms:created xsi:type="dcterms:W3CDTF">2013-05-29T20:01:52Z</dcterms:created>
  <dcterms:modified xsi:type="dcterms:W3CDTF">2022-05-22T02:16:30Z</dcterms:modified>
  <cp:category/>
  <cp:contentStatus/>
</cp:coreProperties>
</file>